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62.xml" ContentType="application/vnd.openxmlformats-officedocument.spreadsheetml.table+xml"/>
  <Override PartName="/xl/tables/table63.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bookViews>
    <workbookView windowWidth="22368" windowHeight="9335" tabRatio="500" firstSheet="4" activeTab="8"/>
  </bookViews>
  <sheets>
    <sheet name="Orientações" sheetId="1" state="hidden" r:id="rId1"/>
    <sheet name="Servente" sheetId="2" state="hidden" r:id="rId2"/>
    <sheet name="Eletricista" sheetId="5" r:id="rId3"/>
    <sheet name="Auxiliar Manutenção" sheetId="8" r:id="rId4"/>
    <sheet name="Jardineiro" sheetId="9" r:id="rId5"/>
    <sheet name="Uniformes e EPI" sheetId="12" r:id="rId6"/>
    <sheet name="EPC" sheetId="13" r:id="rId7"/>
    <sheet name="Equipamentos e Materiais" sheetId="14" r:id="rId8"/>
    <sheet name="RESUMO" sheetId="15" r:id="rId9"/>
  </sheets>
  <definedNames>
    <definedName name="SalarioBase">Servente!$D$5</definedName>
    <definedName name="Salário_Normativo_da_Categoria_Profissional">Servente!$D$5</definedName>
    <definedName name="Total1">Servente!#REF!</definedName>
    <definedName name="Total2.1">Servente!#REF!</definedName>
    <definedName name="Total2.2">Servente!#REF!</definedName>
    <definedName name="Total2.3">Servente!#REF!</definedName>
    <definedName name="_1A">Servente!$D$11</definedName>
    <definedName name="_1B">Servente!$D$12</definedName>
    <definedName name="_1C">Servente!$D$13</definedName>
    <definedName name="_1D">Servente!$D$14</definedName>
    <definedName name="_1E">Servente!$D$15</definedName>
    <definedName name="_1F">Servente!$D$16</definedName>
    <definedName name="_2.1A">Servente!$D$22</definedName>
    <definedName name="_2.1B">Servente!$D$23</definedName>
    <definedName name="_2.3A">Servente!$D$49</definedName>
    <definedName name="_2.3B">Servente!$D$50</definedName>
    <definedName name="_2.3C">Servente!$D$51</definedName>
    <definedName name="_2.3D">Servente!$D$52</definedName>
    <definedName name="_xlcn.WorksheetConnection_PlanilhaLimpeza.xlsxTable3">#REF!</definedName>
    <definedName name="_xlnm.Print_Area" localSheetId="2">Eletricista!$A$1:$D$148</definedName>
    <definedName name="_xlnm.Print_Area" localSheetId="3">'Auxiliar Manutenção'!$A$1:$D$148</definedName>
    <definedName name="_xlnm.Print_Area" localSheetId="4">Jardineiro!$A$1:$D$148</definedName>
    <definedName name="_xlnm.Print_Area" localSheetId="8">RESUMO!$A$1:$G$7</definedName>
  </definedNames>
  <calcPr calcId="144525"/>
</workbook>
</file>

<file path=xl/comments1.xml><?xml version="1.0" encoding="utf-8"?>
<comments xmlns="http://schemas.openxmlformats.org/spreadsheetml/2006/main">
  <authors>
    <author xml:space="preserve"> </author>
  </authors>
  <commentList>
    <comment ref="G16" authorId="0">
      <text>
        <r>
          <rPr>
            <sz val="9"/>
            <rFont val="Tahoma"/>
            <charset val="134"/>
          </rPr>
          <t>Daniel Carlos:
Valores que constam no caderno técnico. A unidade deve realizar pesquisa de mercado para o levantamento do percentual médio destas rubricas.</t>
        </r>
      </text>
    </comment>
  </commentList>
</comments>
</file>

<file path=xl/sharedStrings.xml><?xml version="1.0" encoding="utf-8"?>
<sst xmlns="http://schemas.openxmlformats.org/spreadsheetml/2006/main" count="1586" uniqueCount="460">
  <si>
    <t>Orientações para utilização desta Planilha</t>
  </si>
  <si>
    <t>Esta planilha tem como finalidade orientar o planejamento da contratação e fundamentar seu custo estimado , conforme item 2.9, b, do Anexo V da Instrução Normativa SEGES/MPDG nº 05, de 2017.</t>
  </si>
  <si>
    <t>Além dos cálculos e valores constantes na própria IN 05/2017, foi utilizada a metodologia de cálculo constante no caderno técnico de limpeza do Ministério do Planejamento.</t>
  </si>
  <si>
    <r>
      <rPr>
        <sz val="11"/>
        <color rgb="FF000000"/>
        <rFont val="Calibri"/>
        <charset val="134"/>
      </rPr>
      <t xml:space="preserve">Para não haver alteração nas fórmulas constantes nas planilhas, recomenda-se, com exceção da aba "Ambientes", que somente se altere os valores que constam células com fundo </t>
    </r>
    <r>
      <rPr>
        <u/>
        <sz val="11"/>
        <color rgb="FFF4B183"/>
        <rFont val="Calibri"/>
        <charset val="134"/>
      </rPr>
      <t>laranja.</t>
    </r>
  </si>
  <si>
    <t>A lista de materiais, equipamentos, EPIs e Uniformes, bem como seus respectivos valores unitários são meramente exemplificativos. Cabe à equipe de planejamento realizar o levantamento dos materiais e respectivos quantitativos necessários à execução dos serviços, bem como realizar pesquisa de preço de cada insumo, inserindo-os na planilha.</t>
  </si>
  <si>
    <t>Esta planilha calcula automaticamente o quantitativo de área para cada tipo previsto na IN 05/2017, de acordo com os ambientes inseridos na tabela correspondente. Caso a unidade já tenha o quantitativo consolidade, decorrente de estimativas pretéritas, basta inserir os valores diretamente na planilha "Tipos de Área e Produtividade", na coluna "Quantidade" (Obs. Recomenda-se apagar todo o conteúdo da coluna antes de inserir os valores).</t>
  </si>
  <si>
    <t xml:space="preserve">As produtividades que a unidade deseja utilizar deve ser inserida na planilha "Tipos de Área e Produtividade" no campo "Produtividade Personalizada". A planilha calculará automaticamente o quantitativo de serventes previsto, com base na quantidade demandada e na produtividade inserida. </t>
  </si>
  <si>
    <t>A planilha automaticamente arredonda o quantitativo de serventes, realizando os devidos ajustes nas produtividades e as utilizando para os demais cálculos da planilha.</t>
  </si>
  <si>
    <t>Caso a unidade opte pela não utilização do encarregado (recomendado nos casos de quantitativos pequenos de servente), os valores da coluna "Preço Homem Mês - Encarregado" deve ser removido.</t>
  </si>
  <si>
    <t>Foi utilizado os percentuais de lucro e custos indireitos do caderno técnico de limpeza. Recomenda-se que seja realizada pesquisa de mercado para apuração do média de mercado para tais rubricas.</t>
  </si>
  <si>
    <t>Em caso de dúvidas ou sugestões, entrar em contato por meio do e-mail: daniel.souza@ifpb.edu.br ou danieloxyjp@gmail.com</t>
  </si>
  <si>
    <t>Última atualização: 28/02/2019</t>
  </si>
  <si>
    <t xml:space="preserve"> Daniel Carlos Cruz de Souza</t>
  </si>
  <si>
    <t>Coordenação de Planejamento em Aquisições - Reitoria/IFPB</t>
  </si>
  <si>
    <t>Dados para composição dos custos referentes a mão de obra</t>
  </si>
  <si>
    <t>Dados Gerais</t>
  </si>
  <si>
    <t>Item</t>
  </si>
  <si>
    <t>Descrição</t>
  </si>
  <si>
    <t>Comentário</t>
  </si>
  <si>
    <t>Valor</t>
  </si>
  <si>
    <t xml:space="preserve">Tipo de Serviço </t>
  </si>
  <si>
    <t>Limpeza</t>
  </si>
  <si>
    <t>Valor do Vale Transporte</t>
  </si>
  <si>
    <t>Classificação Brasileira de Ocupações (CBO)</t>
  </si>
  <si>
    <t xml:space="preserve">5143-20 </t>
  </si>
  <si>
    <t>Valor do Auxílio Alimentação</t>
  </si>
  <si>
    <t>Salário Normativo da Categoria Profissional</t>
  </si>
  <si>
    <t>Salário Mínimo (Decreto</t>
  </si>
  <si>
    <t>Dias de Trabalho no mês</t>
  </si>
  <si>
    <t>Categoria Profissional</t>
  </si>
  <si>
    <t xml:space="preserve"> CCT PB000405/2018 </t>
  </si>
  <si>
    <t>Servente de Limpeza</t>
  </si>
  <si>
    <t>RAT x SAT</t>
  </si>
  <si>
    <t>Data-Base da Categoria</t>
  </si>
  <si>
    <t>01 de Janeiro</t>
  </si>
  <si>
    <t>Dados sobre Desligamento</t>
  </si>
  <si>
    <t>Módulo 1 - Composição da Remuneração</t>
  </si>
  <si>
    <t>Tipos</t>
  </si>
  <si>
    <t>Percentual</t>
  </si>
  <si>
    <t>1</t>
  </si>
  <si>
    <t>Composição da Remuneração</t>
  </si>
  <si>
    <t>SEM justa causa - AP INDENIZADO</t>
  </si>
  <si>
    <t>A</t>
  </si>
  <si>
    <t>Salário-Base</t>
  </si>
  <si>
    <t>SEM justa causa - AP TRABALHADO</t>
  </si>
  <si>
    <t>B</t>
  </si>
  <si>
    <t>Adicional de Periculosidade</t>
  </si>
  <si>
    <t>Demissões COM justa causa</t>
  </si>
  <si>
    <t>C</t>
  </si>
  <si>
    <t>Adicional de Insalubridade</t>
  </si>
  <si>
    <t>D</t>
  </si>
  <si>
    <t>Adicional Noturno</t>
  </si>
  <si>
    <t>CITL</t>
  </si>
  <si>
    <t>E</t>
  </si>
  <si>
    <t>Adicional de Hora Noturna Reduzida</t>
  </si>
  <si>
    <t>F</t>
  </si>
  <si>
    <t>Outros (especificar)</t>
  </si>
  <si>
    <t>Custos indiretos</t>
  </si>
  <si>
    <t>Total</t>
  </si>
  <si>
    <t>Lucro</t>
  </si>
  <si>
    <t>PIS</t>
  </si>
  <si>
    <t>Módulo 2 - Encargos e Benefícios Anuais, Mensais e Diários</t>
  </si>
  <si>
    <t>COFINS</t>
  </si>
  <si>
    <t> Submódulo 2.1 - 13º (décimo terceiro) Salário, Férias e Adicional de Férias</t>
  </si>
  <si>
    <t>ISS</t>
  </si>
  <si>
    <t>2.1</t>
  </si>
  <si>
    <t>13º (décimo terceiro) Salário, Férias e Adicional de Férias</t>
  </si>
  <si>
    <t>13º (décimo terceiro) Salário</t>
  </si>
  <si>
    <t>Férias e Adicional de Férias</t>
  </si>
  <si>
    <t>Memória de Cálculo - Submódulo 2.1</t>
  </si>
  <si>
    <t>Rubrica</t>
  </si>
  <si>
    <t>Base de Cálculo</t>
  </si>
  <si>
    <t>Memória de Cálculo</t>
  </si>
  <si>
    <t>13 º (décimo terceiro) Salário</t>
  </si>
  <si>
    <t>Módulo 1 (Total)</t>
  </si>
  <si>
    <t>8,33%  x Base de Cálculo, Sendo 8,33% = 1 ÷ 12</t>
  </si>
  <si>
    <t>Base de Cálculo x [(1 ÷ 12) x ( 1 + (1 ÷ 3))]</t>
  </si>
  <si>
    <t>Submódulo 2.2 - Encargos Previdenciários (GPS), Fundo de Garantia por Tempo de Serviço (FGTS) e outras contribuições.</t>
  </si>
  <si>
    <t>2.2</t>
  </si>
  <si>
    <t>GPS, FGTS e outras contribuições</t>
  </si>
  <si>
    <t xml:space="preserve">Valor </t>
  </si>
  <si>
    <t>INSS</t>
  </si>
  <si>
    <t>Salário Educação</t>
  </si>
  <si>
    <t>SAT</t>
  </si>
  <si>
    <t>SESC ou SESI</t>
  </si>
  <si>
    <t>SENAI - SENAC</t>
  </si>
  <si>
    <t>SEBRAE</t>
  </si>
  <si>
    <t>G</t>
  </si>
  <si>
    <t>INCRA</t>
  </si>
  <si>
    <t>H</t>
  </si>
  <si>
    <t>FGTS</t>
  </si>
  <si>
    <t>Memória de Cálculo - Submódulo 2.2</t>
  </si>
  <si>
    <t>A a H</t>
  </si>
  <si>
    <t>Módulo 1 (Total) + Submódulo 2.1</t>
  </si>
  <si>
    <t>Alíquota x Base de Cálculo</t>
  </si>
  <si>
    <t>Submódulo 2.3 - Benefícios Mensais e Diários.</t>
  </si>
  <si>
    <t>2.3</t>
  </si>
  <si>
    <t>Benefícios Mensais e Diários</t>
  </si>
  <si>
    <t>Transporte</t>
  </si>
  <si>
    <t>Auxílio-Refeição/Alimentação</t>
  </si>
  <si>
    <t>Assistência Médica e Familiar</t>
  </si>
  <si>
    <t>Memória de Cálculo - Submódulo 2.3</t>
  </si>
  <si>
    <t>-</t>
  </si>
  <si>
    <t>(Valor do Vale x 2 Vales/dia x Dias de Trabalho) - 6% x Salário Base</t>
  </si>
  <si>
    <t>(Valor do Vale Alim. x Qtde. Dias de Trab)  x 80%</t>
  </si>
  <si>
    <t>Quadro-Resumo do Módulo 2 - Encargos e Benefícios anuais, mensais e diários</t>
  </si>
  <si>
    <t>2</t>
  </si>
  <si>
    <t>Encargos e Benefícios Anuais, Mensais e Diários</t>
  </si>
  <si>
    <t>Módulo 3 - Provisão para Rescisão</t>
  </si>
  <si>
    <t>3</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</si>
  <si>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</si>
  <si>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</si>
  <si>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</si>
  <si>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</si>
  <si>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</si>
  <si>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</si>
  <si>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(-)Demissão por justa causa</t>
  </si>
  <si>
    <t>Memória de Cálculo - Módulo 3</t>
  </si>
  <si>
    <t>Módulo 1 (Total) + Submódulo 2.1 + Submódulo 2.3</t>
  </si>
  <si>
    <t>(Base de Cálculo / 12) x Percentual de AP Indenizado (Tabela "Dados sobre desligamento")</t>
  </si>
  <si>
    <t>Item H do submódulo 2.2 (FGTS)</t>
  </si>
  <si>
    <t>Base de Cálculo x 50 % (40% de multa + 10% contribuição social) x Percentual de AP Indenizado (Tabela "Dados sobre desligamento")</t>
  </si>
  <si>
    <t>Módulo 1 (Total) + Módulo 2 (Total)</t>
  </si>
  <si>
    <t>(Base de Cálculo / 12) x Percentual de AP Trabalhado (Tabela "Dados sobre desligamento")</t>
  </si>
  <si>
    <t>Base de Cálculo x 50 % (40% de multa + 10% contribuição social) x Percentual de AP Trabalhado (Tabela "Dados sobre desligamento")</t>
  </si>
  <si>
    <t>Submódulo 2.1</t>
  </si>
  <si>
    <t>Base de Cálculo x Percentual de Demissões COM justa Causa (Tabela "Dados sobre desligamento")</t>
  </si>
  <si>
    <t xml:space="preserve">Módulo 4 - Custo de Reposição do Profissional Ausente
</t>
  </si>
  <si>
    <t>Submódulo 4.1 - Substituto nas Ausências Legais</t>
  </si>
  <si>
    <t>4.1</t>
  </si>
  <si>
    <t>Substituto nas Ausências Legais</t>
  </si>
  <si>
    <t>Dias de ausência</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</si>
  <si>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</si>
  <si>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</si>
  <si>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</si>
  <si>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</si>
  <si>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</si>
  <si>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Ausência por Doença</t>
  </si>
  <si>
    <t>Memória de Cálculo - Módulo 4</t>
  </si>
  <si>
    <t>A a F</t>
  </si>
  <si>
    <t>Dias de Ausência conforme caderno técnico de limpeza/PB 2018, p. 20.</t>
  </si>
  <si>
    <t>Valor das rubricas de A a F</t>
  </si>
  <si>
    <t xml:space="preserve">Custo diário para o repositor = (Módulo 1 + Módulo 2 + Módulo 3) / 30 </t>
  </si>
  <si>
    <t>Base de cálculo x Dias de Ausência</t>
  </si>
  <si>
    <t>Submódulo 4.2 - Substituto na Intrajornada</t>
  </si>
  <si>
    <t>4.2</t>
  </si>
  <si>
    <t>Substituto na Intrajornada </t>
  </si>
  <si>
    <t>Substituto na cobertura de Intervalo para repouso ou alimentação</t>
  </si>
  <si>
    <t>Quadro-Resumo do Módulo 4 - Custo de Reposição do Profissional Ausente</t>
  </si>
  <si>
    <t>4</t>
  </si>
  <si>
    <t>Custo de Reposição do Profissional Ausente</t>
  </si>
  <si>
    <t>Substituto na Intrajornada</t>
  </si>
  <si>
    <t>Módulo 5 - Insumos Diversos</t>
  </si>
  <si>
    <t>5</t>
  </si>
  <si>
    <t>Insumos Diversos</t>
  </si>
  <si>
    <t>Uniformes</t>
  </si>
  <si>
    <t>Materiais</t>
  </si>
  <si>
    <t>Equipamentos</t>
  </si>
  <si>
    <t>EPI</t>
  </si>
  <si>
    <t>Memória de Cálculo - Módulo 5</t>
  </si>
  <si>
    <t>Tabela Uniformes Serventes</t>
  </si>
  <si>
    <t>Total da Tabela Materiais</t>
  </si>
  <si>
    <t>Base de Cálculo / Qtde. de Serventes</t>
  </si>
  <si>
    <t>Custo total dos equipamentos (Manutenção + Depreciação)</t>
  </si>
  <si>
    <t>Módulo 6 - Custos Indiretos, Tributos e Lucro</t>
  </si>
  <si>
    <t>6</t>
  </si>
  <si>
    <t>Custos Indiretos, Tributos e Lucro</t>
  </si>
  <si>
    <t>Custos Indiretos</t>
  </si>
  <si>
    <t>Tributos</t>
  </si>
  <si>
    <t>C.1</t>
  </si>
  <si>
    <t>C.2</t>
  </si>
  <si>
    <t>C.3</t>
  </si>
  <si>
    <t>QUADRO-RESUMO DO CUSTO POR EMPREGADO</t>
  </si>
  <si>
    <t>Mão de obra vinculada à execução contratual</t>
  </si>
  <si>
    <t>Módulo 4 - Custo de Reposição do Profissional Ausente</t>
  </si>
  <si>
    <t>Subtotal (A + B +C+ D+E)</t>
  </si>
  <si>
    <t>Valor Total por Empregado</t>
  </si>
  <si>
    <t>PLANILHA DE CUSTOS E FORMAÇÃO DE PREÇOS</t>
  </si>
  <si>
    <r>
      <rPr>
        <b/>
        <sz val="11"/>
        <color rgb="FF000000"/>
        <rFont val="Calibri"/>
        <charset val="134"/>
      </rPr>
      <t>Processo Administrativo n.°</t>
    </r>
    <r>
      <rPr>
        <sz val="11"/>
        <color rgb="FF000000"/>
        <rFont val="Calibri"/>
        <charset val="134"/>
      </rPr>
      <t xml:space="preserve"> 23381.003616.2022-14</t>
    </r>
  </si>
  <si>
    <t>Licitação n°</t>
  </si>
  <si>
    <t>008/2022</t>
  </si>
  <si>
    <t>Discriminação dos Serviços (Dados Referente à Contratação)</t>
  </si>
  <si>
    <t>Data -  Apresentação da Proposta</t>
  </si>
  <si>
    <t>....../......./20.......</t>
  </si>
  <si>
    <t>Município - ISSQN</t>
  </si>
  <si>
    <t>ISSQN 5 % (cinco por cento)</t>
  </si>
  <si>
    <t>Ano Acordo, Convenção ou Dissídio Coletivo</t>
  </si>
  <si>
    <t>CCT PB000517/2021</t>
  </si>
  <si>
    <t>Número de Meses de Execução Contratual</t>
  </si>
  <si>
    <t>12 (doze) meses</t>
  </si>
  <si>
    <t>Identificação do Serviço</t>
  </si>
  <si>
    <t>Tipo de Serviço</t>
  </si>
  <si>
    <t>Unidade de Medida</t>
  </si>
  <si>
    <t>Quantidade Total a Contratar</t>
  </si>
  <si>
    <t>Eletricista</t>
  </si>
  <si>
    <t>44 horas</t>
  </si>
  <si>
    <t>MTE</t>
  </si>
  <si>
    <t>7156-10</t>
  </si>
  <si>
    <t>SEAC-PB</t>
  </si>
  <si>
    <t>01/JANEIRO</t>
  </si>
  <si>
    <t>GRUPO VIII</t>
  </si>
  <si>
    <t>Lei n.° 12.740/2012 – NR 16 Anexo IV</t>
  </si>
  <si>
    <t>BASE DE CÁLCULO PARA O SUBMÓDULO 2.2</t>
  </si>
  <si>
    <t>MÓDULO 1</t>
  </si>
  <si>
    <t>MÓDULO 2.1</t>
  </si>
  <si>
    <t>TOTAL</t>
  </si>
  <si>
    <t>SAT (+FAP de 0,5 a 2,0) (Variação: 0,5% a 6 %)</t>
  </si>
  <si>
    <r>
      <rPr>
        <sz val="11"/>
        <color rgb="FF000000"/>
        <rFont val="Calibri"/>
        <charset val="134"/>
      </rPr>
      <t>Intervalo Intrajornada (</t>
    </r>
    <r>
      <rPr>
        <sz val="10"/>
        <color rgb="FF000000"/>
        <rFont val="Calibri"/>
        <charset val="134"/>
      </rPr>
      <t>não usufruído pelo empregado</t>
    </r>
    <r>
      <rPr>
        <sz val="11"/>
        <color rgb="FF000000"/>
        <rFont val="Calibri"/>
        <charset val="134"/>
      </rPr>
      <t>)</t>
    </r>
  </si>
  <si>
    <t>Benefício Odontológico</t>
  </si>
  <si>
    <t>Auxílio Morte/Funeral</t>
  </si>
  <si>
    <t>Plano de Assistência Familiar e Social</t>
  </si>
  <si>
    <t>Incidência de GPS, FGTS e outras contribuições sobre o Aviso Prévio Trabalhado</t>
  </si>
  <si>
    <t>BASE DE CÁLCULO PARA O MÓDULO 4</t>
  </si>
  <si>
    <t>MÓDULO 2</t>
  </si>
  <si>
    <t>MÓDULO 3</t>
  </si>
  <si>
    <t>Substituto na cobertura de Outras ausências (especificar)</t>
  </si>
  <si>
    <t>*Nota: APLICÁVEL, APENAS, PARA quando o TITULAR do posto USUFRUIR do descanso intrajornada e o posto de trabalho NÃO PUDER FICAR DESCOBERTO</t>
  </si>
  <si>
    <t>*=TRUNCAR(($D$86/220)*(1*(365/12))/2)</t>
  </si>
  <si>
    <t>*Nota: Se o titular USUFRUIR do descanso intrajornada, o total é o somatório dos subitens 4.1 e 4.2</t>
  </si>
  <si>
    <t>DIÁRIAS</t>
  </si>
  <si>
    <t>QUANTIDADE (ANUAL)</t>
  </si>
  <si>
    <t>VALOR UNITÁRIO</t>
  </si>
  <si>
    <t>VALOR TOTAL</t>
  </si>
  <si>
    <t>Uniformes e Equipamento de Proteção Individual - EPI</t>
  </si>
  <si>
    <t>Com Pernoite*</t>
  </si>
  <si>
    <t>Equipamentos de Proteção Coletiva - EPC</t>
  </si>
  <si>
    <t>Sem Pernoite*</t>
  </si>
  <si>
    <t>VALOR TOTAL MENSAL</t>
  </si>
  <si>
    <t>Diárias</t>
  </si>
  <si>
    <t>* Valores estabelecidos em conformidade com as disposição da CCT n.° PB 000517/2021</t>
  </si>
  <si>
    <t>BASE DE CÁLCULO PARA O MÓDULO 6</t>
  </si>
  <si>
    <t>MÓDULO 4</t>
  </si>
  <si>
    <t>MÓDULO 5</t>
  </si>
  <si>
    <t>CÁLCULO POR DENTRO</t>
  </si>
  <si>
    <t>TOTAL DOS TRIBUTOS</t>
  </si>
  <si>
    <t>BASE DE CÁLCULO</t>
  </si>
  <si>
    <t>ÍNDICE</t>
  </si>
  <si>
    <t>C.1 - PIS</t>
  </si>
  <si>
    <t>C.2 - COFINS</t>
  </si>
  <si>
    <t>C.3 - ISS</t>
  </si>
  <si>
    <t>Subtotal (A + B + C + D + E)</t>
  </si>
  <si>
    <t>VALOR TOTAL POR EMPREGADO</t>
  </si>
  <si>
    <t>Auxiliar de Manutenção Predial</t>
  </si>
  <si>
    <t>5143-10</t>
  </si>
  <si>
    <t>Adicional de Periculosidade*</t>
  </si>
  <si>
    <t>Adicional de Insalubridade*</t>
  </si>
  <si>
    <t>*Atentar às disposições estabelecidas no subitem 10.1.8 do Termo de Referência</t>
  </si>
  <si>
    <t>Jardineiro</t>
  </si>
  <si>
    <t>6220-10</t>
  </si>
  <si>
    <t>GRUPO III</t>
  </si>
  <si>
    <t>UNIFORMES E EQUIPAMENTOS DE PROTEÇÃO INDIVIDUAL E COLETIVO</t>
  </si>
  <si>
    <t>ELETRICISTA</t>
  </si>
  <si>
    <t>ITEM</t>
  </si>
  <si>
    <t>PEÇA</t>
  </si>
  <si>
    <t>DESCRIÇÃO</t>
  </si>
  <si>
    <t>UNIDADE</t>
  </si>
  <si>
    <t>VALOR MÉDIO UNITÁRIO (R$)</t>
  </si>
  <si>
    <t>QUANTIDADE ANUAL</t>
  </si>
  <si>
    <t>VALOR ANUAL POR EMPREGADO (R$)</t>
  </si>
  <si>
    <t>VALOR MENSAL POR EMPREGADO (R$)</t>
  </si>
  <si>
    <t>CALÇA</t>
  </si>
  <si>
    <t>Calça com cós de elástico, dois bolsos frontais e dois bolsos na traseira, confeccionado em tecido 100% algodão com tratamento retardante a chama, sem partes metálicas, com fitas refletivas nas pernas.</t>
  </si>
  <si>
    <t>Unidade</t>
  </si>
  <si>
    <t>CAMISA</t>
  </si>
  <si>
    <t>Camisa com gola tipo italiana, com mangas longas e punhos americanos, com fitas refletivas na altura dos ombros e costas e identificação da empresa na parte frontal, confeccionadas em tecido 100% algodão com tratamento retardante a chama.</t>
  </si>
  <si>
    <t>Camisa tipo Polo em Piquet de Malha – 50% algodão e 50% poliéster,  com mangas curtas, identificação da empresa na parte frontal, na cor Branca.</t>
  </si>
  <si>
    <t>BONÉ</t>
  </si>
  <si>
    <t>Boné árabe em brim 100% algodão para proteção da face em trabalhos a céu aberto.</t>
  </si>
  <si>
    <t>MANGUITO PROTEÇÃO UV</t>
  </si>
  <si>
    <t>Manguito Proteção UV 50: Dimensões Aproximadas: P: 9x27,7 cm (L x C), G: 9,5x41 cm (L x P), Composição: 94% Poliamida e 6% Elastano; Proteção UV, Antimicrobial, Seamless Dry, Proteção Solar: Com FPS; na cor preta.</t>
  </si>
  <si>
    <t>Par</t>
  </si>
  <si>
    <t>CALÇADO</t>
  </si>
  <si>
    <t>Calçado de segurança tipo botina, confeccionado em couro vaqueta, fechamento em elástico, com biqueira de composite, solado em poliuretano bidensidade, indicado para proteção dos pés contra riscos de natureza leve, agentes abrasivos, escoriantes e choques elétricos.</t>
  </si>
  <si>
    <t>MEIA</t>
  </si>
  <si>
    <t>Meia, modelo cano alto , composição: 88% Algodão, 2% Lycra e 10% Poliamida, na cor preta.</t>
  </si>
  <si>
    <t>CRACHÁ</t>
  </si>
  <si>
    <t xml:space="preserve"> Crachá de identiﬁcação, em plástico rígido, contendo logomarca da empresa, foto e nome completo do funcionário.</t>
  </si>
  <si>
    <t>CAPACETE</t>
  </si>
  <si>
    <t>Capacete de segurança, tipo II classe B, aba frontal, injetados em material plástico, com carneira com ajuste traseiro e aranha, tira de suor confeccionada em TNT dublado com espuma, com jugular confeccionada com tecido de nylon e ajuste através de passador plástico, cor laranja, com selo de marcação do INMETRO.</t>
  </si>
  <si>
    <t>CINTO DE SEGURANÇA</t>
  </si>
  <si>
    <t>Conjunto cinto de segurança tipo paraquedista com talabarte duplo e kit trava queda (o cinto de segurança e o talabarte deverão ter o mesmo C.A.)</t>
  </si>
  <si>
    <t>Conjunto</t>
  </si>
  <si>
    <t>LUVA</t>
  </si>
  <si>
    <t>Luva de segurança isolante em borracha para alta tensão 20Kv, classe 2, para tensão máxima de uso até 17.000V.</t>
  </si>
  <si>
    <t>Luva de segurança confeccionada em malha tricotada 4 fios algodão, palma com pigmento de PVC, cano curto, para uso em serviços gerais.</t>
  </si>
  <si>
    <t>ÓCULOS</t>
  </si>
  <si>
    <t>Óculos de proteção individual com lentes incolor, armação em policarbonato, lente em policarbonato, anti-embaçante e anti-risco. Modelo de sobreposição (p/ser usado sobre óculos graduados).</t>
  </si>
  <si>
    <t>PROTETOR AURICULAR</t>
  </si>
  <si>
    <t>Protetor auricular, tipo plug de três flanges, material silicone, características adicionais anti-alérgico/atóxico.</t>
  </si>
  <si>
    <t>PROTETOR SOLAR</t>
  </si>
  <si>
    <t>Protetor solar fator de proteção FPS 30 ou superior.</t>
  </si>
  <si>
    <t>RESPIRADOR FACIAL</t>
  </si>
  <si>
    <t>Respirador semifacial PFF2 dobrável, descartável, sem válvula. Indicado para proteção respiratória em ambientes hospitalares contra presença de aerodispersóides e outros agentes biológicos, aplicando-se ainda contra fumos, névoas e poeiras tóxicas.</t>
  </si>
  <si>
    <t>AUXILIAR DE MANUTENÇÃO PREDIAL</t>
  </si>
  <si>
    <t>Calça com cós de elástico, dois bolsos frontais e dois bolsos na traseira, confeccionado em brim 100% algodão, sem partes metálicas.</t>
  </si>
  <si>
    <t>Camisa com gola tipo italiana, com mangas curtas, identificação da empresa na parte frontal, confeccionada em brim 100% algodão.</t>
  </si>
  <si>
    <r>
      <rPr>
        <i/>
        <sz val="11"/>
        <rFont val="Carlito"/>
        <charset val="134"/>
      </rPr>
      <t>Calçado de segurança tipo botina, confeccionado em couro vaqueta, fechamento em elástico, com biqueira de aço, solado em poliuretano</t>
    </r>
    <r>
      <rPr>
        <i/>
        <sz val="11"/>
        <rFont val="Arial"/>
        <charset val="134"/>
      </rPr>
      <t> </t>
    </r>
    <r>
      <rPr>
        <i/>
        <sz val="11"/>
        <rFont val="Carlito"/>
        <charset val="134"/>
      </rPr>
      <t>bidensidade.</t>
    </r>
  </si>
  <si>
    <r>
      <rPr>
        <i/>
        <sz val="11"/>
        <rFont val="Carlito"/>
        <charset val="134"/>
      </rPr>
      <t>Calçado ocupacional de uso profissional, tipo bota PVC cano longo, impermeável, confeccionado em policloreto de vinila (PVC), com resistência química, sem biqueira, propriedades antiderrapantes,</t>
    </r>
    <r>
      <rPr>
        <i/>
        <sz val="11"/>
        <rFont val="Arial"/>
        <charset val="134"/>
      </rPr>
      <t> </t>
    </r>
    <r>
      <rPr>
        <i/>
        <sz val="11"/>
        <rFont val="Carlito"/>
        <charset val="134"/>
      </rPr>
      <t>para uso em locais alagadiços.</t>
    </r>
  </si>
  <si>
    <t>Capacete de segurança, tipo II classe A, aba frontal, com carneira e jugular. Regulagem de tamanho através de ajuste simples, cor azul, com selo de marcação do INMETRO.</t>
  </si>
  <si>
    <t>JARDINEIRO</t>
  </si>
  <si>
    <t>CAPA DE CHUVA</t>
  </si>
  <si>
    <t>Capa de chuva confeccionada em PVC com forro de poliéster, com mangas, capuz conjugado, fechamento frontal por meio de botões, fechamento das costuras através de solda eletrônica.</t>
  </si>
  <si>
    <t>EQUIPAMENTOS DE PROTEÇÃO COLETIVA</t>
  </si>
  <si>
    <t>KIT PRIMEIRO SOCORROS</t>
  </si>
  <si>
    <t>Caixa plástica tipo maleta para acondicionamento do Kit</t>
  </si>
  <si>
    <t>Tesoura sem ponta</t>
  </si>
  <si>
    <t>Luvas de procedimento</t>
  </si>
  <si>
    <t>Caixa com 50 pares</t>
  </si>
  <si>
    <t>Máscara cirúrgica</t>
  </si>
  <si>
    <t>Gazes</t>
  </si>
  <si>
    <t>Pacote</t>
  </si>
  <si>
    <t>Esparadrapo</t>
  </si>
  <si>
    <t>Rolo</t>
  </si>
  <si>
    <t>Atadura de crepe</t>
  </si>
  <si>
    <t>Soro fisiológico SF 0,9% 250 mL</t>
  </si>
  <si>
    <t>Frasco</t>
  </si>
  <si>
    <t>Antisséptico degermante 100ml</t>
  </si>
  <si>
    <t>Corda de segurança em poliamida de 12 mm de diâmetro Rolo com 100 metros</t>
  </si>
  <si>
    <t>Mangas isolantes de borracha Classe 2 (M.T.)</t>
  </si>
  <si>
    <t>Placas de sinalização “Atenção - Em manutenção”</t>
  </si>
  <si>
    <t>Cone em PVC, cor laranja com faixas refletivas, tamanho 75 cm.</t>
  </si>
  <si>
    <t>QUANTIDADE DE PROFISSIONAIS A SEREM CONTRATADOS</t>
  </si>
  <si>
    <t>VALOR MENSAL POR EMPREGADO</t>
  </si>
  <si>
    <t>MATERIAIS</t>
  </si>
  <si>
    <t>QUANTIDADE</t>
  </si>
  <si>
    <t>VALOR UNITÁRIO ESTIMADO</t>
  </si>
  <si>
    <t>VALOR TOTAL ESTIMADO</t>
  </si>
  <si>
    <r>
      <rPr>
        <b/>
        <sz val="11"/>
        <color rgb="FF000000"/>
        <rFont val="Calibri"/>
        <charset val="134"/>
      </rPr>
      <t xml:space="preserve">Alicate Universal Isolado 8" - </t>
    </r>
    <r>
      <rPr>
        <sz val="11"/>
        <color rgb="FF000000"/>
        <rFont val="Calibri"/>
        <charset val="134"/>
      </rPr>
      <t>Material: Liga de aço; Formato ‎Reto;  Cabo Isolado para 1000V</t>
    </r>
  </si>
  <si>
    <t>UND</t>
  </si>
  <si>
    <r>
      <rPr>
        <b/>
        <sz val="11"/>
        <color rgb="FF000000"/>
        <rFont val="Calibri"/>
        <charset val="134"/>
      </rPr>
      <t>Alicate de Pressão Isolado 10" -</t>
    </r>
    <r>
      <rPr>
        <sz val="11"/>
        <color rgb="FF000000"/>
        <rFont val="Calibri"/>
        <charset val="134"/>
      </rPr>
      <t xml:space="preserve"> Material: Aço forjado; Cabo isolado; Mordente</t>
    </r>
  </si>
  <si>
    <r>
      <rPr>
        <b/>
        <sz val="11"/>
        <color rgb="FF000000"/>
        <rFont val="Calibri"/>
        <charset val="134"/>
      </rPr>
      <t xml:space="preserve">Alicate de Corte Isolado 6" - </t>
    </r>
    <r>
      <rPr>
        <sz val="11"/>
        <color rgb="FF000000"/>
        <rFont val="Calibri"/>
        <charset val="134"/>
      </rPr>
      <t>Material: Aço Carbono; Cabo isolado para 1.000V; Corte Diagonal</t>
    </r>
  </si>
  <si>
    <r>
      <rPr>
        <b/>
        <sz val="11"/>
        <color rgb="FF000000"/>
        <rFont val="Calibri"/>
        <charset val="134"/>
      </rPr>
      <t>Alicate Bico Isolado 6'' -</t>
    </r>
    <r>
      <rPr>
        <sz val="11"/>
        <color rgb="FF000000"/>
        <rFont val="Calibri"/>
        <charset val="134"/>
      </rPr>
      <t xml:space="preserve"> Material: Aço forjado; Cabo isolado para 1.000V; Meia Cana</t>
    </r>
  </si>
  <si>
    <r>
      <rPr>
        <b/>
        <sz val="11"/>
        <color rgb="FF000000"/>
        <rFont val="Calibri"/>
        <charset val="134"/>
      </rPr>
      <t xml:space="preserve">Alicate Desencapador de Fios 6 Pol. </t>
    </r>
    <r>
      <rPr>
        <sz val="11"/>
        <color rgb="FF000000"/>
        <rFont val="Calibri"/>
        <charset val="134"/>
      </rPr>
      <t>- Material do corpo do alicate: Aço carbono; Capacidade do alicate desencapador: Cortar e prensar = 0,5 mm² - 6,0 mm² / Desencapar = 0,2 mm² - 6,0 mm² | Comprimento total do alicate: 6 pol - 152 mm.</t>
    </r>
  </si>
  <si>
    <r>
      <rPr>
        <b/>
        <sz val="11"/>
        <color rgb="FF000000"/>
        <rFont val="Calibri"/>
        <charset val="134"/>
      </rPr>
      <t>Alicate Prensa Terminais Pré-Isolados 7 Pol. -</t>
    </r>
    <r>
      <rPr>
        <sz val="11"/>
        <color rgb="FF000000"/>
        <rFont val="Calibri"/>
        <charset val="134"/>
      </rPr>
      <t xml:space="preserve"> Material do corpo: Aço carbono; Aplicação:  prensar terminais pré-isolados tipo fêmea, macho, forquilha (garfo), anel e pino, para fios e cabos com bitolas de 0,5mm² a 6,0mm²; Possui regulador de pressão</t>
    </r>
  </si>
  <si>
    <r>
      <rPr>
        <b/>
        <sz val="11"/>
        <color rgb="FF000000"/>
        <rFont val="Calibri"/>
        <charset val="134"/>
      </rPr>
      <t xml:space="preserve">Chave de Fenda 1/4 x 8 Pol. - </t>
    </r>
    <r>
      <rPr>
        <sz val="11"/>
        <color rgb="FF000000"/>
        <rFont val="Calibri"/>
        <charset val="134"/>
      </rPr>
      <t>Especificações Técnicas: Aço; Haste niquelada e cromada; Ponta fosfatizada; Medidas: 1/4 x 8 Pol.</t>
    </r>
  </si>
  <si>
    <r>
      <rPr>
        <b/>
        <sz val="11"/>
        <color rgb="FF000000"/>
        <rFont val="Calibri"/>
        <charset val="134"/>
      </rPr>
      <t>Chave de Fenda 3/16 x 8 Pol. -</t>
    </r>
    <r>
      <rPr>
        <sz val="11"/>
        <color rgb="FF000000"/>
        <rFont val="Calibri"/>
        <charset val="134"/>
      </rPr>
      <t xml:space="preserve"> Especificações Técnicas: Aço; Haste niquelada e cromada; Ponta fosfatizada; Medidas: 3,16 x 8 Pol.</t>
    </r>
  </si>
  <si>
    <r>
      <rPr>
        <b/>
        <sz val="11"/>
        <color rgb="FF000000"/>
        <rFont val="Calibri"/>
        <charset val="134"/>
      </rPr>
      <t>Chave de Fenda 1/2 x 10 Pol. -</t>
    </r>
    <r>
      <rPr>
        <sz val="11"/>
        <color rgb="FF000000"/>
        <rFont val="Calibri"/>
        <charset val="134"/>
      </rPr>
      <t xml:space="preserve"> Especificações Técnicas: Aço; Haste niquelada e cromada; Ponta fosfatizada; Medidas: 1,2 x 10 Pol.</t>
    </r>
  </si>
  <si>
    <r>
      <rPr>
        <b/>
        <sz val="11"/>
        <color rgb="FF000000"/>
        <rFont val="Calibri"/>
        <charset val="134"/>
      </rPr>
      <t xml:space="preserve">Chave Phillips 1/4 X 10 Pol - </t>
    </r>
    <r>
      <rPr>
        <sz val="11"/>
        <color rgb="FF000000"/>
        <rFont val="Calibri"/>
        <charset val="134"/>
      </rPr>
      <t>Haste em aço cromo vanádio temperada; Acabamento cromado; Ponta fosfatizada e magnetizada; Cabo injetado; Medidas: 1/4 X 10 Pol.</t>
    </r>
  </si>
  <si>
    <r>
      <rPr>
        <b/>
        <sz val="11"/>
        <color rgb="FF000000"/>
        <rFont val="Calibri"/>
        <charset val="134"/>
      </rPr>
      <t>Chave Phillips de 1/4 x 8 Pol. -</t>
    </r>
    <r>
      <rPr>
        <sz val="11"/>
        <color rgb="FF000000"/>
        <rFont val="Calibri"/>
        <charset val="134"/>
      </rPr>
      <t xml:space="preserve">  Haste em aço cromo vanádio temperada; Acabamento cromado; Ponta fosfatizada e magnetizada; Cabo injetado; Medidas: 1/4" x 8"</t>
    </r>
  </si>
  <si>
    <r>
      <rPr>
        <b/>
        <sz val="11"/>
        <color rgb="FF000000"/>
        <rFont val="Calibri"/>
        <charset val="134"/>
      </rPr>
      <t>Chave Phillips 3/16 x 8 pol. -</t>
    </r>
    <r>
      <rPr>
        <sz val="11"/>
        <color rgb="FF000000"/>
        <rFont val="Calibri"/>
        <charset val="134"/>
      </rPr>
      <t xml:space="preserve"> Haste em aço cromo vanádio temperada; Acabamento cromado; Ponta fosfatizada e magnetizada; Cabo injetado; Medidas: 3/16 x 8"</t>
    </r>
  </si>
  <si>
    <r>
      <rPr>
        <b/>
        <sz val="11"/>
        <color rgb="FF000000"/>
        <rFont val="Calibri"/>
        <charset val="134"/>
      </rPr>
      <t xml:space="preserve">Chave Phillips 3/16 x 3 Pol. - </t>
    </r>
    <r>
      <rPr>
        <sz val="11"/>
        <color rgb="FF000000"/>
        <rFont val="Calibri"/>
        <charset val="134"/>
      </rPr>
      <t>Haste em aço cromo vanádio temperada; Acabamento cromado; Ponta fosfatizada e magnetizada; Cabo injetado; Medidas: 3/16 x 3 Pol.</t>
    </r>
  </si>
  <si>
    <r>
      <rPr>
        <b/>
        <sz val="11"/>
        <color rgb="FF000000"/>
        <rFont val="Calibri"/>
        <charset val="134"/>
      </rPr>
      <t xml:space="preserve">Chave Phillips 1/4 x 5 Pol. - </t>
    </r>
    <r>
      <rPr>
        <sz val="11"/>
        <color rgb="FF000000"/>
        <rFont val="Calibri"/>
        <charset val="134"/>
      </rPr>
      <t>Haste em aço cromo vanádio temperada; Acabamento cromado; Ponta fosfatizada e magnetizada; Cabo injetado; Medidas: 1/4 x 5 Pol.</t>
    </r>
  </si>
  <si>
    <r>
      <rPr>
        <b/>
        <sz val="11"/>
        <color rgb="FF000000"/>
        <rFont val="Calibri"/>
        <charset val="134"/>
      </rPr>
      <t xml:space="preserve">Chave de Fenda Cotoco 1/4 x 1.1/2 Pol. - </t>
    </r>
    <r>
      <rPr>
        <sz val="11"/>
        <color rgb="FF000000"/>
        <rFont val="Calibri"/>
        <charset val="134"/>
      </rPr>
      <t>Fabricado em aço; Haste niquelada e cromada; Cabo em polipropileno; Ponta fosfatizada; Medidas: 1/4 x 1.1/2 Pol.</t>
    </r>
  </si>
  <si>
    <r>
      <rPr>
        <b/>
        <sz val="11"/>
        <color rgb="FF000000"/>
        <rFont val="Calibri"/>
        <charset val="134"/>
      </rPr>
      <t xml:space="preserve">Chave Phillips Cotoco 1/4 x 1.1/2 Pol. - </t>
    </r>
    <r>
      <rPr>
        <sz val="11"/>
        <color rgb="FF000000"/>
        <rFont val="Calibri"/>
        <charset val="134"/>
      </rPr>
      <t>Fabricado em aço; Haste niquelada e cromada; Cabo em polipropileno; Ponta fosfatizada; Medidas: 1/4 x 1.1/2 Pol.</t>
    </r>
  </si>
  <si>
    <r>
      <rPr>
        <b/>
        <sz val="11"/>
        <color rgb="FF000000"/>
        <rFont val="Calibri"/>
        <charset val="134"/>
      </rPr>
      <t xml:space="preserve">Chave de Fenda 1/8 x 3'' - </t>
    </r>
    <r>
      <rPr>
        <sz val="11"/>
        <color rgb="FF000000"/>
        <rFont val="Calibri"/>
        <charset val="134"/>
      </rPr>
      <t>Fabricado em aço; Haste niquelada e cromada; Cabo em polipropileno; Ponta fosfatizada; Medidas: 1/8 x 3 Pol.</t>
    </r>
  </si>
  <si>
    <r>
      <rPr>
        <b/>
        <sz val="11"/>
        <color rgb="FF000000"/>
        <rFont val="Calibri"/>
        <charset val="134"/>
      </rPr>
      <t xml:space="preserve">Chave Teste Elétrico - </t>
    </r>
    <r>
      <rPr>
        <sz val="11"/>
        <color rgb="FF000000"/>
        <rFont val="Calibri"/>
        <charset val="134"/>
      </rPr>
      <t>Material da haste da chave: Aço carbono; Acabamento da haste da chave: Niquelado; Tensão de trabalho da chave Teste: 100 V~ a 500 V~</t>
    </r>
  </si>
  <si>
    <r>
      <rPr>
        <b/>
        <sz val="11"/>
        <color rgb="FF000000"/>
        <rFont val="Calibri"/>
        <charset val="134"/>
      </rPr>
      <t>Chave inglesa 12 Pol. -</t>
    </r>
    <r>
      <rPr>
        <sz val="11"/>
        <color rgb="FF000000"/>
        <rFont val="Calibri"/>
        <charset val="134"/>
      </rPr>
      <t xml:space="preserve"> Fabricada em aço; Acabamento cromado; Aplicação: apertar e soltar parafusos, porcas sextavadas ou quadradas; Abertura total da boca: 35 mm; Medida: 12 Pol.</t>
    </r>
  </si>
  <si>
    <r>
      <rPr>
        <b/>
        <sz val="11"/>
        <color rgb="FF000000"/>
        <rFont val="Calibri"/>
        <charset val="134"/>
      </rPr>
      <t>Chave Inglesa 10 Pol. -</t>
    </r>
    <r>
      <rPr>
        <sz val="11"/>
        <color rgb="FF000000"/>
        <rFont val="Calibri"/>
        <charset val="134"/>
      </rPr>
      <t xml:space="preserve"> Fabricada em aço; Acabamento cromado; Aplicação: apertar e soltar parafusos, porcas sextavadas ou quadradas; Abertura total da boca: 28 mm; Medida: 10 Pol.</t>
    </r>
  </si>
  <si>
    <r>
      <rPr>
        <b/>
        <sz val="11"/>
        <color rgb="FF000000"/>
        <rFont val="Calibri"/>
        <charset val="134"/>
      </rPr>
      <t>Chave Inglesa 8 Pol. -</t>
    </r>
    <r>
      <rPr>
        <sz val="11"/>
        <color rgb="FF000000"/>
        <rFont val="Calibri"/>
        <charset val="134"/>
      </rPr>
      <t xml:space="preserve">  Fabricada em aço; Acabamento cromado; Aplicação: apertar e soltar parafusos, porcas sextavadas ou quadradas; Abertura total da boca: 23 mm; Medida: 8 Pol.</t>
    </r>
  </si>
  <si>
    <r>
      <rPr>
        <b/>
        <sz val="11"/>
        <color rgb="FF000000"/>
        <rFont val="Calibri"/>
        <charset val="134"/>
      </rPr>
      <t>Jogo de Chave Allen com 8 Peças -</t>
    </r>
    <r>
      <rPr>
        <sz val="11"/>
        <color rgb="FF000000"/>
        <rFont val="Calibri"/>
        <charset val="134"/>
      </rPr>
      <t xml:space="preserve"> Fabricado em aço cromo - vanádio; Acabamento  fosfatizada e escurecida; Medidas das Chaves: 2, 2.5, 3, 4, 5, 6, 8 e 10 mm</t>
    </r>
  </si>
  <si>
    <r>
      <rPr>
        <b/>
        <sz val="11"/>
        <color rgb="FF000000"/>
        <rFont val="Calibri"/>
        <charset val="134"/>
      </rPr>
      <t>Jogo de Chave Combinada Boca/Estria -</t>
    </r>
    <r>
      <rPr>
        <sz val="11"/>
        <color rgb="FF000000"/>
        <rFont val="Calibri"/>
        <charset val="134"/>
      </rPr>
      <t xml:space="preserve"> Material: Aço Forjado; Composto por 11 chaves; Medidas das chaves: 6 - 7 - 8 - 9 - 10 - 11 - 12 - 13 - 14 - 17 - 19mm</t>
    </r>
  </si>
  <si>
    <r>
      <rPr>
        <b/>
        <sz val="11"/>
        <color rgb="FF000000"/>
        <rFont val="Calibri"/>
        <charset val="134"/>
      </rPr>
      <t>Jogo de Soquetes com Catraca Encaixe 1/4 e 3/8 Pol. -</t>
    </r>
    <r>
      <rPr>
        <sz val="11"/>
        <color rgb="FF000000"/>
        <rFont val="Calibri"/>
        <charset val="134"/>
      </rPr>
      <t xml:space="preserve"> 1 Estojo; 1 Catraca encaixe 3/8"; 3 Soquetes de encaixe de 3/8: 11, 12 e 13 mm.; 10 Soquetes de encaixe de 1/4": 4, 5, 6, 7, 8, 9, 10, 11, 12 e 13 mm.; 10 Soquetes de encaixe de 1/4" octogonais: 5/32", 3/16", 7/32", 1/4", 9/32", 5/16", 11/32", 3/8", 13/32" e 7/16"; 3 Soquetes de encaixe de 1/4" octogonais: 1/4", 5/16" e 3/8".; 1 Extensão encaixe 3/8" x 3".; 1 Adaptador 3/8" x 1/4"; 1 Adaptador para bits; 1 Cabo de fenda para soquetes; 8 bits 25 mm: fenda (5, 6 e 7 mm), phillips (PH1, PH2 e PH3), pozi (PZ1 e PZ2).</t>
    </r>
  </si>
  <si>
    <r>
      <rPr>
        <b/>
        <sz val="11"/>
        <color rgb="FF000000"/>
        <rFont val="Calibri"/>
        <charset val="134"/>
      </rPr>
      <t xml:space="preserve">Jogo de Brocas Widea 3 a 10mm - </t>
    </r>
    <r>
      <rPr>
        <sz val="11"/>
        <color rgb="FF000000"/>
        <rFont val="Calibri"/>
        <charset val="134"/>
      </rPr>
      <t>Acabamento brilhante; Aplicações em construção civil/alvenaria; Acompanha estojo plástico com marcações de medidas, para armazenamento das ferramentas; Contém 08 peças, sendo de medidas:- 3mm – 4mm – 5mm – 6mm – 7mm – 8mm – 9mm – 10mm</t>
    </r>
  </si>
  <si>
    <r>
      <rPr>
        <b/>
        <sz val="11"/>
        <color rgb="FF000000"/>
        <rFont val="Calibri"/>
        <charset val="134"/>
      </rPr>
      <t>Jogo de brocas de aço rápido de 1/16” a 3/16” -</t>
    </r>
    <r>
      <rPr>
        <sz val="11"/>
        <color rgb="FF000000"/>
        <rFont val="Calibri"/>
        <charset val="134"/>
      </rPr>
      <t xml:space="preserve"> Acompanha estojo plástico com marcações de medidas, para armazenamento das ferramentas; Medidas das peças: 1/16 - 5/64 - 3/32 - 7/64 - 1/8 - 9/64 - 5/32 - 11/64 - 3/16 -  13/64 - 7/32 - 15/64 - 1/4 - 17/64 - 9/32 - 19/64 - 5/16 - 21/64 - 11/32 - 23/64 - 3/8”</t>
    </r>
  </si>
  <si>
    <r>
      <rPr>
        <b/>
        <sz val="11"/>
        <color rgb="FF000000"/>
        <rFont val="Calibri"/>
        <charset val="134"/>
      </rPr>
      <t>Estilete Profissional -</t>
    </r>
    <r>
      <rPr>
        <sz val="11"/>
        <color rgb="FF000000"/>
        <rFont val="Calibri"/>
        <charset val="134"/>
      </rPr>
      <t xml:space="preserve"> Material do Corpo do Estilete: Metálico revestido com borracha termoplástica; Tipo da Lâmina: Reta segmentada; Comprimento Total: 200 mm; Largura da Lâmina (mm): 25 </t>
    </r>
  </si>
  <si>
    <r>
      <rPr>
        <b/>
        <sz val="11"/>
        <color rgb="FF000000"/>
        <rFont val="Calibri"/>
        <charset val="134"/>
      </rPr>
      <t>Arco de Serra Fixo 12"-</t>
    </r>
    <r>
      <rPr>
        <sz val="11"/>
        <color rgb="FF000000"/>
        <rFont val="Calibri"/>
        <charset val="134"/>
      </rPr>
      <t xml:space="preserve">  com pintura eletrostática a pó na cor preta, lâmina de serra e cabo injetado em polipropileno</t>
    </r>
  </si>
  <si>
    <r>
      <rPr>
        <b/>
        <sz val="11"/>
        <color rgb="FF000000"/>
        <rFont val="Calibri"/>
        <charset val="134"/>
      </rPr>
      <t xml:space="preserve">Alicate Bomba-d'água Isolado 1.000 V 10" - </t>
    </r>
    <r>
      <rPr>
        <sz val="11"/>
        <color rgb="FF000000"/>
        <rFont val="Calibri"/>
        <charset val="134"/>
      </rPr>
      <t xml:space="preserve">Forjado em aço cromo vanádio; Acabamento fosfatizado; Possui 4 regulagens de abertura; Isolamento Elétrico de 1.000 V </t>
    </r>
  </si>
  <si>
    <r>
      <rPr>
        <b/>
        <sz val="11"/>
        <color rgb="FF000000"/>
        <rFont val="Calibri"/>
        <charset val="134"/>
      </rPr>
      <t xml:space="preserve">Chave Grifo 18 Pol. - </t>
    </r>
    <r>
      <rPr>
        <sz val="11"/>
        <color rgb="FF000000"/>
        <rFont val="Calibri"/>
        <charset val="134"/>
      </rPr>
      <t>Material: ‎Ferro; Mordente em aço; Medida: 18” (450 mm); Abertura do mordente: 80mm</t>
    </r>
  </si>
  <si>
    <r>
      <rPr>
        <b/>
        <sz val="11"/>
        <color rgb="FF000000"/>
        <rFont val="Calibri"/>
        <charset val="134"/>
      </rPr>
      <t xml:space="preserve">Martelo Bola 500g - </t>
    </r>
    <r>
      <rPr>
        <sz val="11"/>
        <color rgb="FF000000"/>
        <rFont val="Calibri"/>
        <charset val="134"/>
      </rPr>
      <t>Cabeça em aço resistente, Cabo em madeira legítima; Peso: 500g; Comprimento total: 330 mm; Comprimento da cabeça: 100 mm; Diâmetro da cabeça: 25 mm</t>
    </r>
  </si>
  <si>
    <r>
      <rPr>
        <b/>
        <sz val="11"/>
        <color rgb="FF000000"/>
        <rFont val="Calibri"/>
        <charset val="134"/>
      </rPr>
      <t>Marreta Oitavada 500 g -</t>
    </r>
    <r>
      <rPr>
        <sz val="11"/>
        <color rgb="FF000000"/>
        <rFont val="Calibri"/>
        <charset val="134"/>
      </rPr>
      <t xml:space="preserve"> Cabeça forjada e temperada em aço carbono especial; Cabeça com acabamento envernizado; Cabo em madeira envernizada; Fixação por cunha metálica; Comprimento da cabeça: 89 mm; Comprimento total:255 mm; Diâmetro do batente: 30 mm</t>
    </r>
  </si>
  <si>
    <r>
      <rPr>
        <b/>
        <sz val="11"/>
        <color rgb="FF000000"/>
        <rFont val="Calibri"/>
        <charset val="134"/>
      </rPr>
      <t xml:space="preserve">Marreta Oitavada 1Kg - </t>
    </r>
    <r>
      <rPr>
        <sz val="11"/>
        <color rgb="FF000000"/>
        <rFont val="Calibri"/>
        <charset val="134"/>
      </rPr>
      <t>Cabeça forjada e temperada em aço carbono especial; Cabeça com acabamento envernizado; Cabo em madeira envernizada; Comprimento total:320 mm</t>
    </r>
  </si>
  <si>
    <r>
      <rPr>
        <b/>
        <sz val="11"/>
        <color rgb="FF000000"/>
        <rFont val="Calibri"/>
        <charset val="134"/>
      </rPr>
      <t xml:space="preserve">Talhadeira Sextavada 6 Pol. - </t>
    </r>
    <r>
      <rPr>
        <sz val="11"/>
        <color rgb="FF000000"/>
        <rFont val="Calibri"/>
        <charset val="134"/>
      </rPr>
      <t>Corpo em aço especial; Barra sextavada; Têmpera por indução nas duas extremidades</t>
    </r>
  </si>
  <si>
    <r>
      <rPr>
        <b/>
        <sz val="11"/>
        <color rgb="FF000000"/>
        <rFont val="Calibri"/>
        <charset val="134"/>
      </rPr>
      <t>Talhadeira Sextavada 8 Pol. -</t>
    </r>
    <r>
      <rPr>
        <sz val="11"/>
        <color rgb="FF000000"/>
        <rFont val="Calibri"/>
        <charset val="134"/>
      </rPr>
      <t xml:space="preserve"> Corpo em aço especial; Barra sextavada; Têmpera por indução nas duas extremidades</t>
    </r>
  </si>
  <si>
    <r>
      <rPr>
        <b/>
        <sz val="11"/>
        <color rgb="FF000000"/>
        <rFont val="Calibri"/>
        <charset val="134"/>
      </rPr>
      <t xml:space="preserve">Tesoura Para Corte de Chapa - </t>
    </r>
    <r>
      <rPr>
        <sz val="11"/>
        <color rgb="FF000000"/>
        <rFont val="Calibri"/>
        <charset val="134"/>
      </rPr>
      <t>Tipo Aviação; Corte Reto; Mecanismo de alavanca dupla; Cabo emborrachado</t>
    </r>
  </si>
  <si>
    <r>
      <rPr>
        <b/>
        <sz val="11"/>
        <color rgb="FF000000"/>
        <rFont val="Calibri"/>
        <charset val="134"/>
      </rPr>
      <t xml:space="preserve">Pá Quadrada com Cabo de Madeira 71cm - </t>
    </r>
    <r>
      <rPr>
        <sz val="11"/>
        <color rgb="FF000000"/>
        <rFont val="Calibri"/>
        <charset val="134"/>
      </rPr>
      <t>Fabricada em aço carbono; Pintura eletrostática a pó; Cabo em Madeira com acabamento envernizado</t>
    </r>
  </si>
  <si>
    <r>
      <rPr>
        <b/>
        <sz val="11"/>
        <color rgb="FF000000"/>
        <rFont val="Calibri"/>
        <charset val="134"/>
      </rPr>
      <t xml:space="preserve">Enxada Estreita Cabo 145cm - </t>
    </r>
    <r>
      <rPr>
        <sz val="11"/>
        <color rgb="FF000000"/>
        <rFont val="Calibri"/>
        <charset val="134"/>
      </rPr>
      <t xml:space="preserve"> Material: Metal; Cabo em Madeira; Mediadas: Largura 24 cm; Comprimento 145 cm</t>
    </r>
  </si>
  <si>
    <r>
      <rPr>
        <b/>
        <sz val="11"/>
        <color rgb="FF000000"/>
        <rFont val="Calibri"/>
        <charset val="134"/>
      </rPr>
      <t xml:space="preserve">Picareta Chibanca com Cabo de Madeira de 90cm - </t>
    </r>
    <r>
      <rPr>
        <sz val="11"/>
        <color rgb="FF000000"/>
        <rFont val="Calibri"/>
        <charset val="134"/>
      </rPr>
      <t>Picareta forjada em aço carbono; Cabo de madeira; Tamanho do cabo: 90 cm; Dimensões gerais: 905 x 378 x 98 mm</t>
    </r>
  </si>
  <si>
    <r>
      <rPr>
        <b/>
        <sz val="11"/>
        <color rgb="FF000000"/>
        <rFont val="Calibri"/>
        <charset val="134"/>
      </rPr>
      <t>Desempenadeira de Madeira 140 mm x 260 mm -</t>
    </r>
    <r>
      <rPr>
        <sz val="11"/>
        <color rgb="FF000000"/>
        <rFont val="Calibri"/>
        <charset val="134"/>
      </rPr>
      <t xml:space="preserve"> Material: Madeira; Medidas: 140 mm x 260 mm; Aplicação: aplicar, nivelar e espalhar uniformemente rebocos.</t>
    </r>
  </si>
  <si>
    <r>
      <rPr>
        <b/>
        <sz val="11"/>
        <color rgb="FF000000"/>
        <rFont val="Calibri"/>
        <charset val="134"/>
      </rPr>
      <t>Desempenadeira de Madeira 120 mm x 200 mm -</t>
    </r>
    <r>
      <rPr>
        <sz val="11"/>
        <color rgb="FF000000"/>
        <rFont val="Calibri"/>
        <charset val="134"/>
      </rPr>
      <t xml:space="preserve"> Material: Madeira; Medidas: 120 mm x 200 mm; Aplicação: aplicar, nivelar e espalhar uniformemente rebocos.</t>
    </r>
  </si>
  <si>
    <r>
      <rPr>
        <b/>
        <sz val="11"/>
        <color rgb="FF000000"/>
        <rFont val="Calibri"/>
        <charset val="134"/>
      </rPr>
      <t>Desempenadeira de Aço Lisa 250 mm X 120 mm -</t>
    </r>
    <r>
      <rPr>
        <sz val="11"/>
        <color rgb="FF000000"/>
        <rFont val="Calibri"/>
        <charset val="134"/>
      </rPr>
      <t xml:space="preserve"> Material da chapa: Aço; Material do Cabo: Madeira ou Polipropileno; Uso: aplicação de calfino e massa corrida </t>
    </r>
  </si>
  <si>
    <r>
      <rPr>
        <b/>
        <sz val="11"/>
        <color rgb="FF000000"/>
        <rFont val="Calibri"/>
        <charset val="134"/>
      </rPr>
      <t>Picareta com Cabo de Madeira de 95 cm -</t>
    </r>
    <r>
      <rPr>
        <sz val="11"/>
        <color rgb="FF000000"/>
        <rFont val="Calibri"/>
        <charset val="134"/>
      </rPr>
      <t xml:space="preserve"> Fabricado em aço especial; Cabo de madeira; Extremidades levemente afiadas; Tamanho total: 95 cm</t>
    </r>
  </si>
  <si>
    <r>
      <rPr>
        <b/>
        <sz val="11"/>
        <color rgb="FF000000"/>
        <rFont val="Calibri"/>
        <charset val="134"/>
      </rPr>
      <t xml:space="preserve">Alavanca Redonda Corrugada 1" x 1,50 m - </t>
    </r>
    <r>
      <rPr>
        <sz val="11"/>
        <color rgb="FF000000"/>
        <rFont val="Calibri"/>
        <charset val="134"/>
      </rPr>
      <t>Material: aço corrugado CA50, Pontas Temperadas; Medidas: 1" x 1,50 m</t>
    </r>
  </si>
  <si>
    <r>
      <rPr>
        <b/>
        <sz val="11"/>
        <color rgb="FF000000"/>
        <rFont val="Calibri"/>
        <charset val="134"/>
      </rPr>
      <t xml:space="preserve">Peneira de Aro Plástico para Areia 55 cm - </t>
    </r>
    <r>
      <rPr>
        <sz val="11"/>
        <color rgb="FF000000"/>
        <rFont val="Calibri"/>
        <charset val="134"/>
      </rPr>
      <t>Tela em arame galvanizado; Diâmetro da peneira: 55 cm; Malha da Peneira: 8; Fio da Peneira: 28; Material do aro da peneira: Plástico</t>
    </r>
  </si>
  <si>
    <r>
      <rPr>
        <b/>
        <sz val="11"/>
        <color rgb="FF000000"/>
        <rFont val="Calibri"/>
        <charset val="134"/>
      </rPr>
      <t>Martelo de Borracha 60mm -</t>
    </r>
    <r>
      <rPr>
        <sz val="11"/>
        <color rgb="FF000000"/>
        <rFont val="Calibri"/>
        <charset val="134"/>
      </rPr>
      <t xml:space="preserve"> Material da Cabeça: Borracha; Diâmetro da Cabeça do Martelo: 60,0 mm; Material do Cabo: Madeira</t>
    </r>
  </si>
  <si>
    <r>
      <rPr>
        <b/>
        <sz val="11"/>
        <color rgb="FF000000"/>
        <rFont val="Calibri"/>
        <charset val="134"/>
      </rPr>
      <t>Régua de Alumínio para Pedreiro 2 m -</t>
    </r>
    <r>
      <rPr>
        <sz val="11"/>
        <color rgb="FF000000"/>
        <rFont val="Calibri"/>
        <charset val="134"/>
      </rPr>
      <t xml:space="preserve"> Material: Alumínio; Comprimento da Régua: 2,0 m; Largura da Régua: 49,7 mm; Altura da Régua: 25,5 mm</t>
    </r>
  </si>
  <si>
    <r>
      <rPr>
        <b/>
        <sz val="11"/>
        <color rgb="FF000000"/>
        <rFont val="Calibri"/>
        <charset val="134"/>
      </rPr>
      <t>Prumo de Metal para Parede 500 g -</t>
    </r>
    <r>
      <rPr>
        <sz val="11"/>
        <color rgb="FF000000"/>
        <rFont val="Calibri"/>
        <charset val="134"/>
      </rPr>
      <t xml:space="preserve"> Material do Corpo do Prumo : Metal; Material da Base de Apoio do Prumo: Madeira; Massa do Prumo: 500 g</t>
    </r>
  </si>
  <si>
    <r>
      <rPr>
        <b/>
        <sz val="11"/>
        <color rgb="FF000000"/>
        <rFont val="Calibri"/>
        <charset val="134"/>
      </rPr>
      <t>Escala Métrica Dobrável 2m -</t>
    </r>
    <r>
      <rPr>
        <sz val="11"/>
        <color rgb="FF000000"/>
        <rFont val="Calibri"/>
        <charset val="134"/>
      </rPr>
      <t xml:space="preserve"> Fabricado em Madeira ou Fibra; Metro Dobrável: 10 dobras; Tamanho: 2m</t>
    </r>
  </si>
  <si>
    <r>
      <rPr>
        <b/>
        <sz val="11"/>
        <color rgb="FF000000"/>
        <rFont val="Calibri"/>
        <charset val="134"/>
      </rPr>
      <t>Colher de Pedreiro 9 Pol. -</t>
    </r>
    <r>
      <rPr>
        <sz val="11"/>
        <color rgb="FF000000"/>
        <rFont val="Calibri"/>
        <charset val="134"/>
      </rPr>
      <t xml:space="preserve"> Cabo de Madeira - Fabricada em aço carbono; Pintura Eletrostática a Pó; Lâmina com tamanho 9";  Guarnição Metálica</t>
    </r>
  </si>
  <si>
    <r>
      <rPr>
        <b/>
        <sz val="11"/>
        <color rgb="FF000000"/>
        <rFont val="Calibri"/>
        <charset val="134"/>
      </rPr>
      <t xml:space="preserve">Ponteiro Sextavado 8 Pol. - </t>
    </r>
    <r>
      <rPr>
        <sz val="11"/>
        <color rgb="FF000000"/>
        <rFont val="Calibri"/>
        <charset val="134"/>
      </rPr>
      <t>Corpo em aço especial; Barra sextavada; Dimensões: Largura: 1,9 cm x Altura: 0,6 cm x Comprimento: 20 cm.</t>
    </r>
  </si>
  <si>
    <r>
      <rPr>
        <b/>
        <sz val="11"/>
        <color rgb="FF000000"/>
        <rFont val="Calibri"/>
        <charset val="134"/>
      </rPr>
      <t>Torquês para Armador 9" -</t>
    </r>
    <r>
      <rPr>
        <sz val="11"/>
        <color rgb="FF000000"/>
        <rFont val="Calibri"/>
        <charset val="134"/>
      </rPr>
      <t xml:space="preserve">  Material Aço Carbono; Material do Cabo: Plástico; Aplicação: cortar, apertar e dobrar arames e ferros; Medida: 9 Pol.</t>
    </r>
  </si>
  <si>
    <r>
      <rPr>
        <b/>
        <sz val="11"/>
        <color rgb="FF000000"/>
        <rFont val="Calibri"/>
        <charset val="134"/>
      </rPr>
      <t>Esquadro em Aço -</t>
    </r>
    <r>
      <rPr>
        <sz val="11"/>
        <color rgb="FF000000"/>
        <rFont val="Calibri"/>
        <charset val="134"/>
      </rPr>
      <t xml:space="preserve"> Material: Aço Temperado; Cabo em Plástico Injetado; Dimensões: Altura 1,4cm  | Largura: 14,5cm | Comprimento: 29,4cm</t>
    </r>
  </si>
  <si>
    <r>
      <rPr>
        <b/>
        <sz val="11"/>
        <color rgb="FF000000"/>
        <rFont val="Calibri"/>
        <charset val="134"/>
      </rPr>
      <t>Linha de Pedreiro Trançada 100 m -</t>
    </r>
    <r>
      <rPr>
        <sz val="11"/>
        <color rgb="FF000000"/>
        <rFont val="Calibri"/>
        <charset val="134"/>
      </rPr>
      <t xml:space="preserve">  Material: PE (Polietileno); Carretel com 100 Metros; Aplicação: Indicado para Construção Civil para Alinhamento em Geral</t>
    </r>
  </si>
  <si>
    <r>
      <rPr>
        <b/>
        <sz val="11"/>
        <color rgb="FF000000"/>
        <rFont val="Calibri"/>
        <charset val="134"/>
      </rPr>
      <t>Pé de Cabra Forjado 24 Pol. -</t>
    </r>
    <r>
      <rPr>
        <sz val="11"/>
        <color rgb="FF000000"/>
        <rFont val="Calibri"/>
        <charset val="134"/>
      </rPr>
      <t xml:space="preserve"> Corpo em aço forjado com secção hexagonal; Comprimento: 24” (60 cm); Espessura do Corpo: 19 mm</t>
    </r>
  </si>
  <si>
    <r>
      <rPr>
        <b/>
        <sz val="11"/>
        <color rgb="FF000000"/>
        <rFont val="Calibri"/>
        <charset val="134"/>
      </rPr>
      <t>Nível de Alumínio 14 Pol. -</t>
    </r>
    <r>
      <rPr>
        <sz val="11"/>
        <color rgb="FF000000"/>
        <rFont val="Calibri"/>
        <charset val="134"/>
      </rPr>
      <t xml:space="preserve">  Corpo De Alumínio; Régua Graduada; Possui: 3 Bolhas de Nível</t>
    </r>
  </si>
  <si>
    <r>
      <rPr>
        <b/>
        <sz val="11"/>
        <color rgb="FF000000"/>
        <rFont val="Calibri"/>
        <charset val="134"/>
      </rPr>
      <t xml:space="preserve">Mangueira para Nível 3/8'' - </t>
    </r>
    <r>
      <rPr>
        <sz val="11"/>
        <color rgb="FF000000"/>
        <rFont val="Calibri"/>
        <charset val="134"/>
      </rPr>
      <t xml:space="preserve"> Material: Plástico , Aplicação: Medida De Nível , Cor: Cristal , Diâmetro Interno: 3/8 Pol.</t>
    </r>
  </si>
  <si>
    <t>Metro</t>
  </si>
  <si>
    <r>
      <rPr>
        <b/>
        <sz val="11"/>
        <color rgb="FF000000"/>
        <rFont val="Calibri"/>
        <charset val="134"/>
      </rPr>
      <t>Trena com Caixa Plástica Emborrachada 5 m -</t>
    </r>
    <r>
      <rPr>
        <sz val="11"/>
        <color rgb="FF000000"/>
        <rFont val="Calibri"/>
        <charset val="134"/>
      </rPr>
      <t xml:space="preserve"> Com caixa plástica emborrachada; Comprimento: 5 metros; Largura da fita 3/4"</t>
    </r>
  </si>
  <si>
    <r>
      <rPr>
        <b/>
        <sz val="11"/>
        <color rgb="FF000000"/>
        <rFont val="Calibri"/>
        <charset val="134"/>
      </rPr>
      <t>Diamante Rodel Ø7 x 80mm -</t>
    </r>
    <r>
      <rPr>
        <sz val="11"/>
        <color rgb="FF000000"/>
        <rFont val="Calibri"/>
        <charset val="134"/>
      </rPr>
      <t xml:space="preserve"> Haste em aço carbono zincado com disco de carboneto de tungstênio (wídia)</t>
    </r>
  </si>
  <si>
    <r>
      <rPr>
        <b/>
        <sz val="11"/>
        <color rgb="FF000000"/>
        <rFont val="Calibri"/>
        <charset val="134"/>
      </rPr>
      <t>Pincel de pelo de 2 cm -</t>
    </r>
    <r>
      <rPr>
        <sz val="11"/>
        <color rgb="FF000000"/>
        <rFont val="Calibri"/>
        <charset val="134"/>
      </rPr>
      <t xml:space="preserve"> Material Cerdas: Pelo De Malta , Tamanho: 3/4 POL, Tipo Cabo: Curto , Material Cabo: Madeira , Formato: Retangular</t>
    </r>
  </si>
  <si>
    <r>
      <rPr>
        <b/>
        <sz val="11"/>
        <color rgb="FF000000"/>
        <rFont val="Calibri"/>
        <charset val="134"/>
      </rPr>
      <t xml:space="preserve">Pincel de pelo de 4 cm - </t>
    </r>
    <r>
      <rPr>
        <sz val="11"/>
        <color rgb="FF000000"/>
        <rFont val="Calibri"/>
        <charset val="134"/>
      </rPr>
      <t>Material Cerdas: Pelo De Malta , Tamanho: 1. 1/2 POL, Tipo Cabo: Curto , Material Cabo: Madeira , Formato: Retangular</t>
    </r>
  </si>
  <si>
    <r>
      <rPr>
        <b/>
        <sz val="11"/>
        <color rgb="FF000000"/>
        <rFont val="Calibri"/>
        <charset val="134"/>
      </rPr>
      <t>Pincel de pelo de 8 cm -</t>
    </r>
    <r>
      <rPr>
        <sz val="11"/>
        <color rgb="FF000000"/>
        <rFont val="Calibri"/>
        <charset val="134"/>
      </rPr>
      <t xml:space="preserve"> Material Cerdas: Pelo De Malta , Tamanho: 3 POL, Tipo Cabo: Curto , Material Cabo: Madeira , Formato: Retangular</t>
    </r>
  </si>
  <si>
    <r>
      <rPr>
        <b/>
        <sz val="11"/>
        <color rgb="FF000000"/>
        <rFont val="Calibri"/>
        <charset val="134"/>
      </rPr>
      <t>Bandeja de Pintura 23cm -</t>
    </r>
    <r>
      <rPr>
        <sz val="11"/>
        <color rgb="FF000000"/>
        <rFont val="Calibri"/>
        <charset val="134"/>
      </rPr>
      <t xml:space="preserve"> Corpo fabricado em polipropileno, possui frisos removedores do excesso de tinta; Aplicação: Serviços de pinturas em geral; Medida: 23 cm</t>
    </r>
  </si>
  <si>
    <r>
      <rPr>
        <b/>
        <sz val="11"/>
        <color rgb="FF000000"/>
        <rFont val="Calibri"/>
        <charset val="134"/>
      </rPr>
      <t>Rolo de Espuma Amarela 5 cm -</t>
    </r>
    <r>
      <rPr>
        <sz val="11"/>
        <color rgb="FF000000"/>
        <rFont val="Calibri"/>
        <charset val="134"/>
      </rPr>
      <t xml:space="preserve"> Rolo De Espuma Poliester Amarelo para Pintura; com Cabo Pop 9Cm; Aplicação : Ideal para Látex, PVA e Acrílica a base de água; Com Haste</t>
    </r>
  </si>
  <si>
    <r>
      <rPr>
        <b/>
        <sz val="11"/>
        <color rgb="FF000000"/>
        <rFont val="Calibri"/>
        <charset val="134"/>
      </rPr>
      <t>Rolo de Espuma Amarela 9 cm -</t>
    </r>
    <r>
      <rPr>
        <sz val="11"/>
        <color rgb="FF000000"/>
        <rFont val="Calibri"/>
        <charset val="134"/>
      </rPr>
      <t xml:space="preserve"> Rolo De Espuma Poliester Amarelo para Pintura; com Cabo Pop 9Cm; Aplicação : Ideal para Látex, PVA e Acrílica a base de água; Com Haste</t>
    </r>
  </si>
  <si>
    <r>
      <rPr>
        <b/>
        <sz val="11"/>
        <color rgb="FF000000"/>
        <rFont val="Calibri"/>
        <charset val="134"/>
      </rPr>
      <t>Rolo de Lã de Carneiro 15 cm  -</t>
    </r>
    <r>
      <rPr>
        <sz val="11"/>
        <color rgb="FF000000"/>
        <rFont val="Calibri"/>
        <charset val="134"/>
      </rPr>
      <t xml:space="preserve"> Material do rolo para pintura: Lã sintética; Suporte do rolo para pintura: Com suporte metálico</t>
    </r>
  </si>
  <si>
    <r>
      <rPr>
        <b/>
        <sz val="11"/>
        <color rgb="FF000000"/>
        <rFont val="Calibri"/>
        <charset val="134"/>
      </rPr>
      <t xml:space="preserve">Rolo de Lã de Carneiro 23 cm - </t>
    </r>
    <r>
      <rPr>
        <sz val="11"/>
        <color rgb="FF000000"/>
        <rFont val="Calibri"/>
        <charset val="134"/>
      </rPr>
      <t>Material do rolo para pintura: Lã sintética; Suporte do rolo para pintura: Com suporte metálico</t>
    </r>
  </si>
  <si>
    <r>
      <rPr>
        <b/>
        <sz val="11"/>
        <color rgb="FF000000"/>
        <rFont val="Calibri"/>
        <charset val="134"/>
      </rPr>
      <t>Rolo para Textura/Decoração 23 cm -</t>
    </r>
    <r>
      <rPr>
        <sz val="11"/>
        <color rgb="FF000000"/>
        <rFont val="Calibri"/>
        <charset val="134"/>
      </rPr>
      <t xml:space="preserve"> Aplicação:Decoraçâo e efeitos especiais; Medidas: 23 x 5.3 x 5.3 cm; 118 g; Sem Haste.</t>
    </r>
  </si>
  <si>
    <r>
      <rPr>
        <b/>
        <sz val="11"/>
        <color rgb="FF000000"/>
        <rFont val="Calibri"/>
        <charset val="134"/>
      </rPr>
      <t xml:space="preserve">Broxa Retangular Plástica 18 cm x 7.5 cm - </t>
    </r>
    <r>
      <rPr>
        <sz val="11"/>
        <color rgb="FF000000"/>
        <rFont val="Calibri"/>
        <charset val="134"/>
      </rPr>
      <t>Material da Base: Plástico; Material do Cabo: Plástico; Material das Cerdas: Sintéticas; Medidas: 18 cm x 7. 5 cm x  65 mm</t>
    </r>
  </si>
  <si>
    <r>
      <rPr>
        <b/>
        <sz val="11"/>
        <color rgb="FF000000"/>
        <rFont val="Calibri"/>
        <charset val="134"/>
      </rPr>
      <t>Espátula de Aço 100 mm -</t>
    </r>
    <r>
      <rPr>
        <sz val="11"/>
        <color rgb="FF000000"/>
        <rFont val="Calibri"/>
        <charset val="134"/>
      </rPr>
      <t xml:space="preserve"> Espátula com lâmina de aço inox, largura 100 mm, e cabo de madeira tratada.</t>
    </r>
  </si>
  <si>
    <r>
      <rPr>
        <b/>
        <sz val="11"/>
        <color rgb="FF000000"/>
        <rFont val="Calibri"/>
        <charset val="134"/>
      </rPr>
      <t>Espátula Dentada 10 cm -</t>
    </r>
    <r>
      <rPr>
        <sz val="11"/>
        <color rgb="FF000000"/>
        <rFont val="Calibri"/>
        <charset val="134"/>
      </rPr>
      <t xml:space="preserve"> Material: Polipropileno; Aplicação: Acabamento de texturas decorativas. </t>
    </r>
  </si>
  <si>
    <r>
      <rPr>
        <b/>
        <sz val="11"/>
        <color rgb="FF000000"/>
        <rFont val="Calibri"/>
        <charset val="134"/>
      </rPr>
      <t>Desempenadeira em Aço Dentada 400 mm x 120 mm -</t>
    </r>
    <r>
      <rPr>
        <sz val="11"/>
        <color rgb="FF000000"/>
        <rFont val="Calibri"/>
        <charset val="134"/>
      </rPr>
      <t xml:space="preserve"> Fabricada em aço; Empunhadura em madeira com haste metálica; Espaçamento entre os dentes: 10mm; Medidas: 400 mm x 120 mm </t>
    </r>
  </si>
  <si>
    <r>
      <rPr>
        <b/>
        <sz val="11"/>
        <color rgb="FF000000"/>
        <rFont val="Calibri"/>
        <charset val="134"/>
      </rPr>
      <t>Pazinha Larga para Jardinagem 30cm -</t>
    </r>
    <r>
      <rPr>
        <sz val="11"/>
        <color rgb="FF000000"/>
        <rFont val="Calibri"/>
        <charset val="134"/>
      </rPr>
      <t xml:space="preserve"> Fabricada em aço carbono; Pintura eletrostática a pó; Cabo em madeira; Medidas: 6,4 cm x 8,3 cm x 30,2 cm</t>
    </r>
  </si>
  <si>
    <r>
      <rPr>
        <b/>
        <sz val="11"/>
        <color rgb="FF000000"/>
        <rFont val="Calibri"/>
        <charset val="134"/>
      </rPr>
      <t xml:space="preserve">Garfo Metálico para Jardinagem 28,3 cm - </t>
    </r>
    <r>
      <rPr>
        <sz val="11"/>
        <color rgb="FF000000"/>
        <rFont val="Calibri"/>
        <charset val="134"/>
      </rPr>
      <t>Fabricada em aço carbono; Pintura eletrostática pó; Cabo em madeira; Medidas: 283 x 72x 49 mm</t>
    </r>
  </si>
  <si>
    <r>
      <rPr>
        <b/>
        <sz val="11"/>
        <color rgb="FF000000"/>
        <rFont val="Calibri"/>
        <charset val="134"/>
      </rPr>
      <t xml:space="preserve">Escadilho Metálico para Jardinagem - </t>
    </r>
    <r>
      <rPr>
        <sz val="11"/>
        <color rgb="FF000000"/>
        <rFont val="Calibri"/>
        <charset val="134"/>
      </rPr>
      <t>Fabricada em aço carbono; Pintura eletrostática a pó; Cabo em madeira; Medidas: 5 Pol.</t>
    </r>
  </si>
  <si>
    <r>
      <rPr>
        <b/>
        <sz val="11"/>
        <color rgb="FF000000"/>
        <rFont val="Calibri"/>
        <charset val="134"/>
      </rPr>
      <t>Jogo de Serras Copo 6 Peças -</t>
    </r>
    <r>
      <rPr>
        <sz val="11"/>
        <color rgb="FF000000"/>
        <rFont val="Calibri"/>
        <charset val="134"/>
      </rPr>
      <t xml:space="preserve"> Fabricados em aço carbono; Aplicação: Furar madeiras em geral, gesso, DryWall, placas de acrílico, PVC e plásticos; Conteúdo: Serra copos: 32 /38 / 44 / 54 mm; 1 Chave allen de fixação; 1 Broca de centro</t>
    </r>
  </si>
  <si>
    <r>
      <rPr>
        <b/>
        <sz val="11"/>
        <color rgb="FF000000"/>
        <rFont val="Calibri"/>
        <charset val="134"/>
      </rPr>
      <t xml:space="preserve">Tesoura de Poda - </t>
    </r>
    <r>
      <rPr>
        <sz val="11"/>
        <color rgb="FF000000"/>
        <rFont val="Calibri"/>
        <charset val="134"/>
      </rPr>
      <t>Lâminas em aço carbono temperado com afiação otimizada; Cabo ergonômico curvo, com batentes internos; Eixo de corte centralizado; Diâmetro de corte máximo admitido: 17 mm</t>
    </r>
  </si>
  <si>
    <r>
      <rPr>
        <b/>
        <sz val="11"/>
        <color rgb="FF000000"/>
        <rFont val="Calibri"/>
        <charset val="134"/>
      </rPr>
      <t>Tesoura para Cerca-Viva/Grama 12 Pol. -</t>
    </r>
    <r>
      <rPr>
        <sz val="11"/>
        <color rgb="FF000000"/>
        <rFont val="Calibri"/>
        <charset val="134"/>
      </rPr>
      <t xml:space="preserve"> Lâminas lisas fabricadas em aço carbono; Cabo em madeira com acabamento envernizado; com guarnição metálica.</t>
    </r>
  </si>
  <si>
    <r>
      <rPr>
        <b/>
        <sz val="11"/>
        <color rgb="FF000000"/>
        <rFont val="Calibri"/>
        <charset val="134"/>
      </rPr>
      <t xml:space="preserve">Serrote Dobrável para Poda 12,5 Pol. - </t>
    </r>
    <r>
      <rPr>
        <sz val="11"/>
        <color rgb="FF000000"/>
        <rFont val="Calibri"/>
        <charset val="134"/>
      </rPr>
      <t>Material da lâmina do serrote: Aço carbono; Material do cabo do serrote: Plástico rígido ABS; Dobrável; Medidas: 240 mm x 420 mm x 190 mm</t>
    </r>
  </si>
  <si>
    <r>
      <rPr>
        <b/>
        <sz val="11"/>
        <color rgb="FF000000"/>
        <rFont val="Calibri"/>
        <charset val="134"/>
      </rPr>
      <t xml:space="preserve">Vassoura Metálica Fixa 18 Dentes - </t>
    </r>
    <r>
      <rPr>
        <sz val="11"/>
        <color rgb="FF000000"/>
        <rFont val="Calibri"/>
        <charset val="134"/>
      </rPr>
      <t>Fabricada em aço carbono; Pintura eletrostática a pó; Possui 18 dentes de arame; Cabo em madeira; Medidas: 153.4 cm x 37.5 cm x 9.5 cm</t>
    </r>
  </si>
  <si>
    <r>
      <rPr>
        <b/>
        <sz val="11"/>
        <color rgb="FF000000"/>
        <rFont val="Calibri"/>
        <charset val="134"/>
      </rPr>
      <t>Cavadeira Articulada -</t>
    </r>
    <r>
      <rPr>
        <sz val="11"/>
        <color rgb="FF000000"/>
        <rFont val="Calibri"/>
        <charset val="134"/>
      </rPr>
      <t xml:space="preserve"> Material: Aço Carbono Especial; Cabo: Madeira (1,10 Metros); Tipo: Articulada; Dimensões (AxLxC): 12 cm x 11 cm x 129 cm.</t>
    </r>
  </si>
  <si>
    <r>
      <rPr>
        <b/>
        <sz val="11"/>
        <color rgb="FF000000"/>
        <rFont val="Calibri"/>
        <charset val="134"/>
      </rPr>
      <t xml:space="preserve">Facão 14 Pol. - </t>
    </r>
    <r>
      <rPr>
        <sz val="11"/>
        <color rgb="FF000000"/>
        <rFont val="Calibri"/>
        <charset val="134"/>
      </rPr>
      <t>Fabricado em aço com alto teor de carbono, Comprimento da lâmina do facão: 14 "; Material do cabo do facão: Madeira</t>
    </r>
  </si>
  <si>
    <r>
      <rPr>
        <b/>
        <sz val="11"/>
        <color rgb="FF000000"/>
        <rFont val="Calibri"/>
        <charset val="134"/>
      </rPr>
      <t>Carrinho de Mão Preto com Pneu de 60 Litros -</t>
    </r>
    <r>
      <rPr>
        <sz val="11"/>
        <color rgb="FF000000"/>
        <rFont val="Calibri"/>
        <charset val="134"/>
      </rPr>
      <t xml:space="preserve"> Produzido com chapas de aço; Capacidade da Caçamba: 60 Litros; Caçamba: 46 cm x 65 cm x 85 cm; Alça: 1,20 cm x 34 cm x 1,45 cm; Roda: Pé: 1,50mm; RPC 628 – 325.8; 360mm; Aro: ARC 8 CP Cubo PP 0,90mm (CH20)</t>
    </r>
  </si>
  <si>
    <r>
      <rPr>
        <b/>
        <sz val="11"/>
        <color rgb="FF000000"/>
        <rFont val="Calibri"/>
        <charset val="134"/>
      </rPr>
      <t xml:space="preserve">Pá Ajuntadeira de Bico n.° 3 - </t>
    </r>
    <r>
      <rPr>
        <sz val="11"/>
        <color rgb="FF000000"/>
        <rFont val="Calibri"/>
        <charset val="134"/>
      </rPr>
      <t>Fabricada em aço carbono; Pintura eletrostática a pó; Cabo em Madeira; Dimensões: 1.025 mm x 269 mm x 161 mm.</t>
    </r>
  </si>
  <si>
    <r>
      <rPr>
        <b/>
        <sz val="11"/>
        <color rgb="FF000000"/>
        <rFont val="Calibri"/>
        <charset val="134"/>
      </rPr>
      <t>Desentupidor de Pia Sanfonada -</t>
    </r>
    <r>
      <rPr>
        <sz val="11"/>
        <color rgb="FF000000"/>
        <rFont val="Calibri"/>
        <charset val="134"/>
      </rPr>
      <t xml:space="preserve"> Material: Borracha Flexível , Cor: Preta , Material Cabo: Plástico Resistente , Comprimento Cabo: 20 cm, Tipo: Sanfonado </t>
    </r>
  </si>
  <si>
    <r>
      <rPr>
        <b/>
        <sz val="11"/>
        <color rgb="FF000000"/>
        <rFont val="Calibri"/>
        <charset val="134"/>
      </rPr>
      <t>Desentupidor de Vaso Sanitário -</t>
    </r>
    <r>
      <rPr>
        <sz val="11"/>
        <color rgb="FF000000"/>
        <rFont val="Calibri"/>
        <charset val="134"/>
      </rPr>
      <t xml:space="preserve"> Material: Borracha Flexível , Comprimento Cabo: 50 cm, Altura: 10 cm, Cor: Preta , Diâmetro: 16 cm, Material Cabo: Madeira</t>
    </r>
  </si>
  <si>
    <r>
      <rPr>
        <b/>
        <sz val="11"/>
        <color rgb="FF000000"/>
        <rFont val="Calibri"/>
        <charset val="134"/>
      </rPr>
      <t>Desentupidor de Canos e Encanamentos Espiral -</t>
    </r>
    <r>
      <rPr>
        <sz val="11"/>
        <color rgb="FF000000"/>
        <rFont val="Calibri"/>
        <charset val="134"/>
      </rPr>
      <t xml:space="preserve"> Material: aço; Aplicação: Desentupimento de caixas de inspeção, calhas, saídas de vaso sanitário, tubulação de esgoto e tubulações; Com mola Rotativa; Dimensões: 5 m </t>
    </r>
  </si>
  <si>
    <r>
      <rPr>
        <b/>
        <sz val="11"/>
        <color rgb="FF000000"/>
        <rFont val="Calibri"/>
        <charset val="134"/>
      </rPr>
      <t>Extensão Elétrica 10 m -</t>
    </r>
    <r>
      <rPr>
        <sz val="11"/>
        <color rgb="FF000000"/>
        <rFont val="Calibri"/>
        <charset val="134"/>
      </rPr>
      <t xml:space="preserve"> Cabo PP Plano 2x1,00mm²; Plugues, Tomadas e Cabos certificados pelo Inmetro; Material Antichama; Condutor de Cobre 99,9% Puro; 127V - 1100W | 220V - 2200W</t>
    </r>
  </si>
  <si>
    <r>
      <rPr>
        <b/>
        <sz val="11"/>
        <color rgb="FF000000"/>
        <rFont val="Calibri"/>
        <charset val="134"/>
      </rPr>
      <t xml:space="preserve">Ferro De Soldar 60w x 220v - </t>
    </r>
    <r>
      <rPr>
        <sz val="11"/>
        <color rgb="FF000000"/>
        <rFont val="Calibri"/>
        <charset val="134"/>
      </rPr>
      <t>Ferro de solda com potência de 60 watts; Voltagem 220 v; Inclui suporte</t>
    </r>
  </si>
  <si>
    <r>
      <rPr>
        <b/>
        <sz val="11"/>
        <color rgb="FF000000"/>
        <rFont val="Calibri"/>
        <charset val="134"/>
      </rPr>
      <t xml:space="preserve">Lanterna Holofote Recarregável à Prova D'água - </t>
    </r>
    <r>
      <rPr>
        <sz val="11"/>
        <color rgb="FF000000"/>
        <rFont val="Calibri"/>
        <charset val="134"/>
      </rPr>
      <t>Recarregável Energia 110/250v -50/60Hz; Led durável com super brilho branco; Longo alcance de 500 metros; Potência: 30W 6000 lumens; Tensão da Bateria: 5.5V.; Autonomia da Bateria: 10 Horas; Tempo de Recarga: 8-12 Horas; Dimensões: 24,9 cm x 16,2 cm</t>
    </r>
  </si>
  <si>
    <r>
      <rPr>
        <b/>
        <sz val="11"/>
        <color rgb="FF000000"/>
        <rFont val="Calibri"/>
        <charset val="134"/>
      </rPr>
      <t>Multímetro Digital Profissional Portátil -</t>
    </r>
    <r>
      <rPr>
        <sz val="11"/>
        <color rgb="FF000000"/>
        <rFont val="Calibri"/>
        <charset val="134"/>
      </rPr>
      <t xml:space="preserve"> Realize medições de tensão contínua e alternada, corrente contínua, resistor, transistores e diodos; - Possui visor LCD 0,5” de altura e 3 1/2 dígitos; Alimentação: Bateria 9V (Inclusa), com indicação de bateria fraca; Acompanha cabos para teste; Desligamento Automático Após: Aprox. 20±10 minutos - Ideal para laboratórios, oficinas, bricolagem e uso doméstica; Aviso sonoro com Beep - Material emborrachado - Dimensões: 14 x 7,5 x 4 (AxLxC) - Peso: Aproximadamente 400g</t>
    </r>
  </si>
  <si>
    <r>
      <rPr>
        <b/>
        <sz val="11"/>
        <color rgb="FF000000"/>
        <rFont val="Calibri"/>
        <charset val="134"/>
      </rPr>
      <t>Pente Aletas Plastica 6 Pontas -</t>
    </r>
    <r>
      <rPr>
        <sz val="11"/>
        <color rgb="FF000000"/>
        <rFont val="Calibri"/>
        <charset val="134"/>
      </rPr>
      <t xml:space="preserve"> Material: Plástico; Pentes de: 8, 9, 10, 12, 14, 15; Aplicação: Função de limpar e desentortar aletas de condensadores e evaporadores, facilitando a passagem de ar, o que diminui o risco de danos por superaquecimento.</t>
    </r>
  </si>
  <si>
    <r>
      <rPr>
        <b/>
        <sz val="11"/>
        <color rgb="FF000000"/>
        <rFont val="Calibri"/>
        <charset val="134"/>
      </rPr>
      <t>Conjunto Serra Copo Diamantado -</t>
    </r>
    <r>
      <rPr>
        <sz val="11"/>
        <color rgb="FF000000"/>
        <rFont val="Calibri"/>
        <charset val="134"/>
      </rPr>
      <t xml:space="preserve">  kit serra copo diamantado para parede e porcelanato, 20, 25, 30, 40, 50, 60, 70, 80, 90, 100, 110 mm, acoplamento: mandril 3/8 x rosca m12, comprimento: 100mm</t>
    </r>
  </si>
  <si>
    <r>
      <rPr>
        <b/>
        <sz val="11"/>
        <color rgb="FF000000"/>
        <rFont val="Calibri"/>
        <charset val="134"/>
      </rPr>
      <t>Multimetro Digital com Alicate Amperimetro -</t>
    </r>
    <r>
      <rPr>
        <sz val="11"/>
        <color rgb="FF000000"/>
        <rFont val="Calibri"/>
        <charset val="134"/>
      </rPr>
      <t xml:space="preserve"> Realiza a medição de correntes, tensão, resistência e continuidade; Acompanha ponta de prova, bateria e um estojo exclusivo; Mede tensão contínua e alternada, corrente alternada até 1000A, resistência; Realiza teste de diodo e continuidade; Teste de continuidade com bipe; Com congelamento de leitura e picos; Chave seletora rotativa de funções</t>
    </r>
  </si>
  <si>
    <r>
      <rPr>
        <b/>
        <sz val="11"/>
        <color rgb="FF000000"/>
        <rFont val="Calibri"/>
        <charset val="134"/>
      </rPr>
      <t xml:space="preserve">Cortador de Cerâmicas - </t>
    </r>
    <r>
      <rPr>
        <sz val="11"/>
        <color rgb="FF000000"/>
        <rFont val="Calibri"/>
        <charset val="134"/>
      </rPr>
      <t>Capacidade de corte do cortador de cerâmica manual: 510 mm; Capacidade de corte diagonal do cortador de cerâmica manual: 360 mm; Dimensões (C x L x A): 630 x 160 x 90 mm</t>
    </r>
  </si>
  <si>
    <r>
      <rPr>
        <b/>
        <sz val="11"/>
        <color rgb="FF000000"/>
        <rFont val="Calibri"/>
        <charset val="134"/>
      </rPr>
      <t>Adaime Tubular -</t>
    </r>
    <r>
      <rPr>
        <sz val="11"/>
        <color rgb="FF000000"/>
        <rFont val="Calibri"/>
        <charset val="134"/>
      </rPr>
      <t xml:space="preserve"> Material: Aço Carbono , Modelo: Tubular Modulado, Acessórios: Diagonal, Rodízio, Ferro, Painel Horizontal, Pranchão, Características Adicionais: Tipo "H" , Altura: 1,00 X 1,00</t>
    </r>
  </si>
  <si>
    <t>QUANTIDADE DE PROFISSIONAIS EMPREGADOS NA EXECUÇÃO DOS SERVIÇOS</t>
  </si>
  <si>
    <t>EQUIPAMENTOS</t>
  </si>
  <si>
    <r>
      <rPr>
        <b/>
        <sz val="11"/>
        <color rgb="FF000000"/>
        <rFont val="Calibri"/>
        <charset val="134"/>
      </rPr>
      <t>Maçarico Manual Portátil -</t>
    </r>
    <r>
      <rPr>
        <sz val="11"/>
        <color rgb="FF000000"/>
        <rFont val="Calibri"/>
        <charset val="134"/>
      </rPr>
      <t xml:space="preserve"> Tipo Gás: Mapp; Temperatura Chama: Até 1.800 °C; Tipo Chama: Neutra; Aplicação: Tubo Cobre / Latão / Alumínio / Aço; Características Adicionais: Acendimento Automático, Bico com giro de 360°, Bico em aço inox, trava de segurança contra acionamento acidental (desligado), trava do gatilho acionado (ligado) e regulador de gás manual. </t>
    </r>
  </si>
  <si>
    <r>
      <rPr>
        <b/>
        <sz val="11"/>
        <color rgb="FF000000"/>
        <rFont val="Calibri"/>
        <charset val="134"/>
      </rPr>
      <t>Conjunto Flangeador Excêtrico -</t>
    </r>
    <r>
      <rPr>
        <sz val="11"/>
        <color rgb="FF000000"/>
        <rFont val="Calibri"/>
        <charset val="134"/>
      </rPr>
      <t xml:space="preserve"> Componentes: Corpo Base / Mordente / Ponteiras / Cortador Tubo; Aplicação: Tubulação Metálica; Sistema Medida Mordente: Métrico; Sistema Medida Ponteiras: Métrico; Características Adicionais: Alargador De Tubo 1/8 Pol a 3/4 Pol; Características Adicionais: com limitador de torque, 01 Morsa polegadas 1/4, 5/16, 3/8, 1/2, 5/8, 3/4, 01 Morsa Milímetros 6, 8, 10, 12, 16, 19; 1 Cortador de Tubos; 1 Rebarbador / Escareador; 1 Maleta Organizadora.</t>
    </r>
  </si>
  <si>
    <r>
      <rPr>
        <b/>
        <sz val="11"/>
        <color rgb="FF000000"/>
        <rFont val="Calibri"/>
        <charset val="134"/>
      </rPr>
      <t>Escada Articulada 4x4 com 16 Degraus de Alumínio -</t>
    </r>
    <r>
      <rPr>
        <sz val="11"/>
        <color rgb="FF000000"/>
        <rFont val="Calibri"/>
        <charset val="134"/>
      </rPr>
      <t xml:space="preserve"> Perfil estrudado de alumínio, articulações em aço galvanizado e sapatas emborrachadas antiderrapantes; Possui extensão lateral para maior estabilidade, degraus antiderrapantes com maior área de contato; Contém 16 degraus; Carga máxima de trabalho: 150Kg; Dimensão fechada: 410 x 270 x 950 mm</t>
    </r>
  </si>
  <si>
    <r>
      <rPr>
        <b/>
        <sz val="11"/>
        <color rgb="FF000000"/>
        <rFont val="Calibri"/>
        <charset val="134"/>
      </rPr>
      <t xml:space="preserve">Escada Extensiva Fibra de Vidro 4.20 m x 7.20 m - </t>
    </r>
    <r>
      <rPr>
        <sz val="11"/>
        <color rgb="FF000000"/>
        <rFont val="Calibri"/>
        <charset val="134"/>
      </rPr>
      <t xml:space="preserve">Confeccionados em fibra de vidro; Ddegraus das escadas são fabricados com alumínio 6061 com formato em D; Cinta de apoio para poste em correia lonada; Sapatas de Borracha antiderrapante </t>
    </r>
  </si>
  <si>
    <r>
      <rPr>
        <b/>
        <sz val="11"/>
        <color rgb="FF000000"/>
        <rFont val="Calibri"/>
        <charset val="134"/>
      </rPr>
      <t xml:space="preserve">Curvador de Tubos Manual 16 mm - </t>
    </r>
    <r>
      <rPr>
        <sz val="11"/>
        <color rgb="FF000000"/>
        <rFont val="Calibri"/>
        <charset val="134"/>
      </rPr>
      <t>Capacidade: tubos de cobre até 16mm (5/8"); Capacidade de curvatura: 180°; Possui um braço fixo para alinhar o tubo; Contém escalas para indicar o grau desejado a ser dobrado e presilha para segurar o tubo.</t>
    </r>
  </si>
  <si>
    <r>
      <rPr>
        <b/>
        <sz val="11"/>
        <color rgb="FF000000"/>
        <rFont val="Calibri"/>
        <charset val="134"/>
      </rPr>
      <t>Chave Grifo Tipo Americana 36 Pol. -</t>
    </r>
    <r>
      <rPr>
        <sz val="11"/>
        <color rgb="FF000000"/>
        <rFont val="Calibri"/>
        <charset val="134"/>
      </rPr>
      <t xml:space="preserve"> Material do corpo da chave: Aço forjado; Acabamento da Chave: Pintado e polido; Capacidade de abertura da chave Grifo: 102 mm</t>
    </r>
  </si>
  <si>
    <r>
      <rPr>
        <b/>
        <sz val="11"/>
        <color rgb="FF000000"/>
        <rFont val="Calibri"/>
        <charset val="134"/>
      </rPr>
      <t>Motocompressor de Ar Direto 1/2HP Bivolt com Kit para Pintura -</t>
    </r>
    <r>
      <rPr>
        <sz val="11"/>
        <color rgb="FF000000"/>
        <rFont val="Calibri"/>
        <charset val="134"/>
      </rPr>
      <t xml:space="preserve"> Capacidade de produção de ar: 2,3 pcm; Potência do motor: 1/2CV (HP); Pressão máxima de trabalho: 40 lbf/pol²; Tensão: 110/220V com chave seletora; Rotação: 1.750RPM; 1 Compressor de ar direto. Acompanha: 1 pistola para pintura (bico jato leque), 1 bico jato dirigido para pistola de pintura, 1 bico para encher bola, 1 medidor de pressão para pneus, 1 conector 1/4" para engate rápido rosca macho, 1 bico para encher pneu, 1 pistola para limpeza e 1 mangueira espiral de 5 m (1 ponta rosca fêmea / 1 ponta engate rápido - ambos 1/4").</t>
    </r>
  </si>
  <si>
    <r>
      <rPr>
        <b/>
        <sz val="11"/>
        <color rgb="FF000000"/>
        <rFont val="Calibri"/>
        <charset val="134"/>
      </rPr>
      <t>Furadeira elétrica impacto profissional -</t>
    </r>
    <r>
      <rPr>
        <sz val="11"/>
        <color rgb="FF000000"/>
        <rFont val="Calibri"/>
        <charset val="134"/>
      </rPr>
      <t xml:space="preserve"> Furadeira de impacto; tensão: 220v; potência: 800w; protetor de cabo articulado: flexibilidade e durabilidade; função de reversão e comutador mecânico de 2 velocidades; embreagem de segurança: proteção no caso de bloqueio súbito da ferramenta/acessório; botão trava para trabalhos contínuos; revestimento softgrip para um manuseamento mais fácil; nº de rotações (sem carga): 0 - 1100/ 3000 rpm; mandril: 1/2" / 20unf; conteúdo da embalagem: empunhadeira auxiliar, limitador de profundidade, chave de mandril e maleta</t>
    </r>
  </si>
  <si>
    <r>
      <rPr>
        <b/>
        <sz val="11"/>
        <color rgb="FF000000"/>
        <rFont val="Calibri"/>
        <charset val="134"/>
      </rPr>
      <t xml:space="preserve">Esmerilhadeira - </t>
    </r>
    <r>
      <rPr>
        <sz val="11"/>
        <color rgb="FF000000"/>
        <rFont val="Calibri"/>
        <charset val="134"/>
      </rPr>
      <t>Tipo: Angular , Voltagem: 110/220 V, Potência: 840 W, Rotação: 11.000 RPM, Diâmetro Disco: 4 1/2 PO</t>
    </r>
  </si>
  <si>
    <r>
      <rPr>
        <b/>
        <sz val="11"/>
        <color rgb="FF000000"/>
        <rFont val="Calibri"/>
        <charset val="134"/>
      </rPr>
      <t>Moto Esmeril Monofásico 6 Pol. 360W -</t>
    </r>
    <r>
      <rPr>
        <sz val="11"/>
        <color rgb="FF000000"/>
        <rFont val="Calibri"/>
        <charset val="134"/>
      </rPr>
      <t xml:space="preserve"> Potência: 360W; Frequência: 60 Hz; Tensão: 220V; Rotação: 3450 rpm; Medidas do rebolo indicado (diâm. x esp. x furo): 6” x 5/8” x 1/2"; Diâmetro do eixo: 1/2" - 12,7mm. Acompanha: 2 Rebolos retos de 6” x 5/8” x 1/2", sendo 1 grão fino e 1 grão grosso</t>
    </r>
  </si>
  <si>
    <r>
      <rPr>
        <b/>
        <sz val="11"/>
        <color rgb="FF000000"/>
        <rFont val="Calibri"/>
        <charset val="134"/>
      </rPr>
      <t>Serra Mármore 1.300W -</t>
    </r>
    <r>
      <rPr>
        <sz val="11"/>
        <color rgb="FF000000"/>
        <rFont val="Calibri"/>
        <charset val="134"/>
      </rPr>
      <t xml:space="preserve"> Potência: 1.300 NaN, Diâmetro Disco: 110 NaN, Diâmetro Furo Disco: 20 NaN, Voltagem: 220 NaN, Características Adicionais: Alto Torque, Rolamento Vedado Contra Pó.</t>
    </r>
  </si>
  <si>
    <r>
      <rPr>
        <b/>
        <sz val="11"/>
        <color rgb="FF000000"/>
        <rFont val="Calibri"/>
        <charset val="134"/>
      </rPr>
      <t xml:space="preserve">Serra tico-tico 500 W- </t>
    </r>
    <r>
      <rPr>
        <sz val="11"/>
        <color rgb="FF000000"/>
        <rFont val="Calibri"/>
        <charset val="134"/>
      </rPr>
      <t>Rotação: 3.100 RPM, Capacidade Corte Madeira: 55 MM, Capacidade Corte Aço: 6 MM, Capacidade Corte Alumínio: 10 MM, Aplicação: Marcenaria , Potência: 500 W, Tensão: 110/220</t>
    </r>
  </si>
  <si>
    <r>
      <rPr>
        <b/>
        <sz val="11"/>
        <color rgb="FF000000"/>
        <rFont val="Calibri"/>
        <charset val="134"/>
      </rPr>
      <t>Torno / Morsa de Bancada 8 Pol. -</t>
    </r>
    <r>
      <rPr>
        <sz val="11"/>
        <color rgb="FF000000"/>
        <rFont val="Calibri"/>
        <charset val="134"/>
      </rPr>
      <t xml:space="preserve"> Mordentes em aço temperado e cementado; Mordentes substituíveis; Ferro fundido nodular; fuso forjado com rosca trapezoidal; Pintura eletrostática. </t>
    </r>
  </si>
  <si>
    <r>
      <rPr>
        <b/>
        <sz val="11"/>
        <color rgb="FF000000"/>
        <rFont val="Calibri"/>
        <charset val="134"/>
      </rPr>
      <t xml:space="preserve">Lavadora de Alta Pressão - </t>
    </r>
    <r>
      <rPr>
        <sz val="11"/>
        <color rgb="FF000000"/>
        <rFont val="Calibri"/>
        <charset val="134"/>
      </rPr>
      <t>Modelo: Monofásico, Vazão: 300 L/H, Tipo: Lava-Jato , Características Adicionais: Rodas, Gatilho Auto-Desligável, Misturador, Pistola , Tensão: 110/220 V, Pressão: 1800 PS</t>
    </r>
  </si>
  <si>
    <r>
      <rPr>
        <b/>
        <sz val="11"/>
        <color rgb="FF000000"/>
        <rFont val="Calibri"/>
        <charset val="134"/>
      </rPr>
      <t>Aspirador de Pó e Líquidos 1.400W -</t>
    </r>
    <r>
      <rPr>
        <sz val="11"/>
        <color rgb="FF000000"/>
        <rFont val="Calibri"/>
        <charset val="134"/>
      </rPr>
      <t xml:space="preserve"> Potência: 1.400 W; Vácuo: 140 mbar; Filtro: Espuma e Pano Lavável; Volume Total: 10 Litros; Cabo Elétrico: 2 Metros; Acessórios: 1 BicoCanto e escova. 1 Mangueira de 1,5 m. 3 extensores de plástico. 1 BicoMúltiplo para carpetes e piso frio. 1 Filtro de espuma lavável. 1 Saco para pó de pano lavável.</t>
    </r>
  </si>
  <si>
    <r>
      <rPr>
        <b/>
        <sz val="11"/>
        <color rgb="FF000000"/>
        <rFont val="Calibri"/>
        <charset val="134"/>
      </rPr>
      <t>Bomba de vácuo de 10 CFM de duplo estágio -</t>
    </r>
    <r>
      <rPr>
        <sz val="11"/>
        <color rgb="FF000000"/>
        <rFont val="Calibri"/>
        <charset val="134"/>
      </rPr>
      <t xml:space="preserve"> Potência 1HP, 750W; Voltagem Bivolt; Vácuo máximo 15 mícron / 0.003 mbar / 2x10 Pa; Capacidade para vários refrigerantes: A bomba está apta para ser utilizada com sistemas R-22, R-407C, R-410a, R-404, assim como o sistema R-134a e outros, na condição de troca do lubrificante antes da troca do refrigerante; Dupla conexão de entrada: possui uma entrada em "T" com conexão de 1/4 MFL e 3/8 MFL, para conectar qualquer tipo de mangueira ou manifold; Deslocamento 10 CFM / 283 L/M. Acessórios inclusos 01 Bomba de Vácuo, 01 Cabo de alimentação, 01 frasco de óleo para bomba.</t>
    </r>
  </si>
  <si>
    <r>
      <rPr>
        <b/>
        <sz val="11"/>
        <color rgb="FF000000"/>
        <rFont val="Calibri"/>
        <charset val="134"/>
      </rPr>
      <t xml:space="preserve">Conjunto Manifold  - </t>
    </r>
    <r>
      <rPr>
        <sz val="11"/>
        <color rgb="FF000000"/>
        <rFont val="Calibri"/>
        <charset val="134"/>
      </rPr>
      <t>Componentes: 2 Vias, 3 Mangueiras 900mm Para R12/R22/R502 E Cor , Aplicação: Manutenção Central De Ar Condicionado , Características Adicionais: Escala Baixa 0 A 30 Mmhg, 0 A 250 Psig (Manovacuô)</t>
    </r>
  </si>
  <si>
    <r>
      <rPr>
        <b/>
        <sz val="11"/>
        <color rgb="FF000000"/>
        <rFont val="Calibri"/>
        <charset val="134"/>
      </rPr>
      <t xml:space="preserve">Vacuômetro Analógico -  </t>
    </r>
    <r>
      <rPr>
        <sz val="11"/>
        <color rgb="FF000000"/>
        <rFont val="Calibri"/>
        <charset val="134"/>
      </rPr>
      <t>Material: Latão , Tipo: Portátil , Modelo: Analógico , Capacidade: 250 , Características Adicionais: Calibrado, Agulha Latão, Escala De O A 76 Cm/Hg</t>
    </r>
  </si>
  <si>
    <r>
      <rPr>
        <b/>
        <sz val="11"/>
        <color rgb="FF000000"/>
        <rFont val="Calibri"/>
        <charset val="134"/>
      </rPr>
      <t xml:space="preserve">Detector de Vazamentos Eletrônico - </t>
    </r>
    <r>
      <rPr>
        <sz val="11"/>
        <color rgb="FF000000"/>
        <rFont val="Calibri"/>
        <charset val="134"/>
      </rPr>
      <t>Temperatura de operação: 0ºC a 52ºC (30ºF a 125ºF); Sensibilidade máxima: 6g/ano (para todos refrigerantes halogenados); Duração da bateria: Aproximadamente 20 horas; Tempo de resposta: Instantâneo; Modo de operação: Contínuo, sem limitação Comprimento da sonda fixa: 20cm; Tempo de aquecimento: Aproximadamente 6 segundos; Tempo de reinicialização: 2 a 10 segundos; Fonte de Alimentação: 6V DC, quatro pilhas AAA. Em conformidade com RoHS , SAE_j1627 e padrões EN14624</t>
    </r>
  </si>
  <si>
    <r>
      <rPr>
        <b/>
        <sz val="11"/>
        <color rgb="FF000000"/>
        <rFont val="Calibri"/>
        <charset val="134"/>
      </rPr>
      <t xml:space="preserve">Capacímetro Digital - </t>
    </r>
    <r>
      <rPr>
        <sz val="11"/>
        <color rgb="FF000000"/>
        <rFont val="Calibri"/>
        <charset val="134"/>
      </rPr>
      <t>Display: LCD de 3 1/2 Dígitos , Características Adicionais: Com Holster, Entrada Protegida Por Fusível , Precisão: 0,5 PER, Capacitância Nominal: 0.1pf A 20.000 MICRO</t>
    </r>
  </si>
  <si>
    <t>Manutenção mensal</t>
  </si>
  <si>
    <t>Depreciação mensal</t>
  </si>
  <si>
    <t>Custo Total dos equipamentos (Manutenção + Depreciação)</t>
  </si>
  <si>
    <r>
      <rPr>
        <b/>
        <sz val="11"/>
        <color theme="1"/>
        <rFont val="Calibri"/>
        <charset val="134"/>
        <scheme val="minor"/>
      </rPr>
      <t>Manutenção de Equipamentos</t>
    </r>
    <r>
      <rPr>
        <sz val="11"/>
        <color theme="1"/>
        <rFont val="Calibri"/>
        <charset val="134"/>
        <scheme val="minor"/>
      </rPr>
      <t xml:space="preserve">: O valor do insumo Manutenção de Equipamentos foi obtido adotando-se a metodologia das Tabelas de Composições de Preços para Orçamentação, publicação da Editora Pini, para equipamentos de pequeno porte (aproximadamente 1,5HP), com utilização, em média, de 83h/mês, em conjunto com o Manual de Custos Rodoviários do DNIT, Volume 1, de 2003:
M= k x 83 x V0/VU, onde:
M = custo de manutenção mensal
K = 0,6 (conforme adotado pelo Sicro2 /DNIT – Manual de Custos Rodoviários – Volume 1, página 83);
VU = Vida Útil = 10.000 horas
V0 = Valor de aquisição do equipamento Assim:
Manutenção Mensal = Valor total dos equipamentos x 0,5% a.m.;
</t>
    </r>
    <r>
      <rPr>
        <b/>
        <sz val="11"/>
        <color theme="1"/>
        <rFont val="Calibri"/>
        <charset val="134"/>
        <scheme val="minor"/>
      </rPr>
      <t>Depreciação de Equipamentos:</t>
    </r>
    <r>
      <rPr>
        <sz val="11"/>
        <color theme="1"/>
        <rFont val="Calibri"/>
        <charset val="134"/>
        <scheme val="minor"/>
      </rPr>
      <t xml:space="preserve"> Para o cálculo do insumo Depreciação de Equipamentos, adotou-se vida útil de 8 anos e valor residual de 20%, com base no Manual de Custos Rodoviários do DNIT, volume 1, de 2003.
Depreciação Mensal = [Valor total dos equipamentos x (1,00-0,20)]/(12x8);</t>
    </r>
  </si>
  <si>
    <t>PLANILHA RESUMO</t>
  </si>
  <si>
    <t>Quantidade</t>
  </si>
  <si>
    <t>VIGÊNCIA (Mês)</t>
  </si>
  <si>
    <t>VALOR UNITÁRIO MÁXIMO ACEITÁVEL</t>
  </si>
  <si>
    <t>VALOR TOTAL MÁXIMO ACEITÁVEL</t>
  </si>
  <si>
    <r>
      <rPr>
        <sz val="11"/>
        <color theme="1"/>
        <rFont val="Calibri"/>
        <charset val="134"/>
        <scheme val="minor"/>
      </rPr>
      <t xml:space="preserve">PRESTAÇÃO DE SERVIÇOS DE APOIO ADMINISTRATIVO - Posto de serviços: </t>
    </r>
    <r>
      <rPr>
        <b/>
        <sz val="11"/>
        <color theme="1"/>
        <rFont val="Calibri"/>
        <charset val="134"/>
        <scheme val="minor"/>
      </rPr>
      <t>ELETRICISTA - CBO: 7156-10</t>
    </r>
    <r>
      <rPr>
        <sz val="11"/>
        <color theme="1"/>
        <rFont val="Calibri"/>
        <charset val="134"/>
        <scheme val="minor"/>
      </rPr>
      <t>, em jornada semanal de 44 (quarenta e quatro) horas.</t>
    </r>
  </si>
  <si>
    <t>POSTO</t>
  </si>
  <si>
    <r>
      <rPr>
        <sz val="11"/>
        <color theme="1"/>
        <rFont val="Calibri"/>
        <charset val="134"/>
        <scheme val="minor"/>
      </rPr>
      <t xml:space="preserve">PRESTAÇÃO DE SERVIÇOS DE APOIO ADMINISTRATIVO - Posto de serviços: </t>
    </r>
    <r>
      <rPr>
        <b/>
        <sz val="11"/>
        <color theme="1"/>
        <rFont val="Calibri"/>
        <charset val="134"/>
        <scheme val="minor"/>
      </rPr>
      <t>AUXILIAR DE MANUTENÇÃO PREDIAL - CBO: 5143-10</t>
    </r>
    <r>
      <rPr>
        <sz val="11"/>
        <color theme="1"/>
        <rFont val="Calibri"/>
        <charset val="134"/>
        <scheme val="minor"/>
      </rPr>
      <t>, em jornada semanal de 44 (quarenta e quatro) horas.</t>
    </r>
  </si>
  <si>
    <r>
      <rPr>
        <sz val="11"/>
        <color theme="1"/>
        <rFont val="Calibri"/>
        <charset val="134"/>
        <scheme val="minor"/>
      </rPr>
      <t xml:space="preserve">PRESTAÇÃO DE SERVIÇOS DE APOIO ADMINISTRATIVO - Posto de serviços: </t>
    </r>
    <r>
      <rPr>
        <b/>
        <sz val="11"/>
        <color theme="1"/>
        <rFont val="Calibri"/>
        <charset val="134"/>
        <scheme val="minor"/>
      </rPr>
      <t>JARDINEIRO - CBO: 6220-10</t>
    </r>
    <r>
      <rPr>
        <sz val="11"/>
        <color theme="1"/>
        <rFont val="Calibri"/>
        <charset val="134"/>
        <scheme val="minor"/>
      </rPr>
      <t>, em jornada semanal de 44 (quarenta e quatro) horas.</t>
    </r>
  </si>
</sst>
</file>

<file path=xl/styles.xml><?xml version="1.0" encoding="utf-8"?>
<styleSheet xmlns="http://schemas.openxmlformats.org/spreadsheetml/2006/main">
  <numFmts count="12">
    <numFmt numFmtId="176" formatCode="_-* #,##0_-;\-* #,##0_-;_-* &quot;-&quot;_-;_-@_-"/>
    <numFmt numFmtId="177" formatCode="_-&quot;R$&quot;* #,##0_-;\-&quot;R$&quot;* #,##0_-;_-&quot;R$&quot;* &quot;-&quot;_-;_-@_-"/>
    <numFmt numFmtId="178" formatCode="_-* #,##0.00_-;\-* #,##0.00_-;_-* &quot;-&quot;??_-;_-@_-"/>
    <numFmt numFmtId="179" formatCode="&quot;R$&quot;#,##0.00_);[Red]\(&quot;R$&quot;#,##0.00\)"/>
    <numFmt numFmtId="180" formatCode="_-&quot;R$ &quot;* #,##0.00_-;&quot;-R$ &quot;* #,##0.00_-;_-&quot;R$ &quot;* \-??_-;_-@_-"/>
    <numFmt numFmtId="181" formatCode="&quot;R$&quot;\ #,##0.00_);[Red]\(&quot;R$&quot;\ #,##0.00\)"/>
    <numFmt numFmtId="182" formatCode="&quot;R$&quot;\ #,##0.00"/>
    <numFmt numFmtId="183" formatCode="&quot;R$ &quot;#,##0.00"/>
    <numFmt numFmtId="184" formatCode="&quot;R$&quot;#,##0.00_);[Red]&quot;(R$&quot;#,##0.00\)"/>
    <numFmt numFmtId="185" formatCode="0.00_ "/>
    <numFmt numFmtId="186" formatCode="0.0000_ "/>
    <numFmt numFmtId="187" formatCode="&quot;R$&quot;#,##0.00"/>
  </numFmts>
  <fonts count="49">
    <font>
      <sz val="11"/>
      <color rgb="FF000000"/>
      <name val="Calibri"/>
      <charset val="134"/>
    </font>
    <font>
      <b/>
      <sz val="11"/>
      <color theme="1"/>
      <name val="Calibri"/>
      <charset val="134"/>
      <scheme val="minor"/>
    </font>
    <font>
      <sz val="11"/>
      <color theme="1"/>
      <name val="Calibri"/>
      <charset val="134"/>
      <scheme val="minor"/>
    </font>
    <font>
      <b/>
      <i/>
      <sz val="11"/>
      <name val="Calibri"/>
      <charset val="134"/>
    </font>
    <font>
      <b/>
      <sz val="11"/>
      <name val="Calibri"/>
      <charset val="134"/>
    </font>
    <font>
      <b/>
      <i/>
      <sz val="11"/>
      <color rgb="FF000000"/>
      <name val="Calibri"/>
      <charset val="134"/>
    </font>
    <font>
      <b/>
      <sz val="11"/>
      <color rgb="FF000000"/>
      <name val="Calibri"/>
      <charset val="134"/>
    </font>
    <font>
      <i/>
      <sz val="11"/>
      <color rgb="FF000000"/>
      <name val="Calibri"/>
      <charset val="134"/>
    </font>
    <font>
      <b/>
      <i/>
      <sz val="11"/>
      <color theme="1"/>
      <name val="Calibri"/>
      <charset val="134"/>
      <scheme val="minor"/>
    </font>
    <font>
      <i/>
      <sz val="11"/>
      <name val="Calibri"/>
      <charset val="134"/>
      <scheme val="minor"/>
    </font>
    <font>
      <sz val="11"/>
      <name val="Calibri"/>
      <charset val="134"/>
      <scheme val="minor"/>
    </font>
    <font>
      <i/>
      <sz val="11"/>
      <name val="Calibri"/>
      <charset val="134"/>
    </font>
    <font>
      <b/>
      <sz val="11"/>
      <color theme="0"/>
      <name val="Calibri"/>
      <charset val="134"/>
      <scheme val="minor"/>
    </font>
    <font>
      <b/>
      <i/>
      <sz val="11"/>
      <color rgb="FF3F3F3F"/>
      <name val="Calibri"/>
      <charset val="134"/>
    </font>
    <font>
      <i/>
      <sz val="11"/>
      <name val="Times New Roman"/>
      <charset val="134"/>
    </font>
    <font>
      <b/>
      <sz val="11"/>
      <color theme="0"/>
      <name val="Calibri"/>
      <charset val="134"/>
    </font>
    <font>
      <sz val="11"/>
      <name val="Calibri"/>
      <charset val="134"/>
    </font>
    <font>
      <i/>
      <sz val="11"/>
      <name val="Carlito"/>
      <charset val="134"/>
    </font>
    <font>
      <b/>
      <sz val="14"/>
      <color rgb="FFFFFFFF"/>
      <name val="Calibri"/>
      <charset val="134"/>
    </font>
    <font>
      <b/>
      <sz val="11"/>
      <color rgb="FFFFFFFF"/>
      <name val="Calibri"/>
      <charset val="134"/>
    </font>
    <font>
      <i/>
      <sz val="8"/>
      <color rgb="FFFF0000"/>
      <name val="Calibri"/>
      <charset val="134"/>
    </font>
    <font>
      <sz val="11"/>
      <color theme="0"/>
      <name val="Calibri"/>
      <charset val="134"/>
    </font>
    <font>
      <sz val="11"/>
      <color rgb="FFF4B183"/>
      <name val="Calibri"/>
      <charset val="134"/>
    </font>
    <font>
      <sz val="11"/>
      <color rgb="FFFFFFFF"/>
      <name val="Calibri"/>
      <charset val="134"/>
    </font>
    <font>
      <sz val="11"/>
      <color theme="1"/>
      <name val="Calibri"/>
      <charset val="0"/>
      <scheme val="minor"/>
    </font>
    <font>
      <sz val="10"/>
      <name val="Arial"/>
      <charset val="134"/>
    </font>
    <font>
      <b/>
      <sz val="11"/>
      <color rgb="FFFFFFFF"/>
      <name val="Calibri"/>
      <charset val="0"/>
      <scheme val="minor"/>
    </font>
    <font>
      <sz val="11"/>
      <color theme="0"/>
      <name val="Calibri"/>
      <charset val="0"/>
      <scheme val="minor"/>
    </font>
    <font>
      <sz val="11"/>
      <color rgb="FF9C6500"/>
      <name val="Calibri"/>
      <charset val="0"/>
      <scheme val="minor"/>
    </font>
    <font>
      <sz val="11"/>
      <color rgb="FF9C0006"/>
      <name val="Calibri"/>
      <charset val="0"/>
      <scheme val="minor"/>
    </font>
    <font>
      <sz val="11"/>
      <color rgb="FFFA7D00"/>
      <name val="Calibri"/>
      <charset val="0"/>
      <scheme val="minor"/>
    </font>
    <font>
      <b/>
      <sz val="11"/>
      <color theme="1"/>
      <name val="Calibri"/>
      <charset val="0"/>
      <scheme val="minor"/>
    </font>
    <font>
      <u/>
      <sz val="11"/>
      <color rgb="FF800080"/>
      <name val="Calibri"/>
      <charset val="0"/>
      <scheme val="minor"/>
    </font>
    <font>
      <u/>
      <sz val="11"/>
      <color rgb="FF0000FF"/>
      <name val="Calibri"/>
      <charset val="0"/>
      <scheme val="minor"/>
    </font>
    <font>
      <b/>
      <sz val="18"/>
      <color theme="3"/>
      <name val="Calibri"/>
      <charset val="134"/>
      <scheme val="minor"/>
    </font>
    <font>
      <sz val="10"/>
      <color theme="1"/>
      <name val="Calibri"/>
      <charset val="134"/>
      <scheme val="minor"/>
    </font>
    <font>
      <b/>
      <sz val="11"/>
      <color theme="3"/>
      <name val="Calibri"/>
      <charset val="134"/>
      <scheme val="minor"/>
    </font>
    <font>
      <sz val="11"/>
      <color rgb="FFFF0000"/>
      <name val="Calibri"/>
      <charset val="0"/>
      <scheme val="minor"/>
    </font>
    <font>
      <b/>
      <sz val="11"/>
      <color rgb="FF3F3F3F"/>
      <name val="Calibri"/>
      <charset val="0"/>
      <scheme val="minor"/>
    </font>
    <font>
      <i/>
      <sz val="11"/>
      <color rgb="FF7F7F7F"/>
      <name val="Calibri"/>
      <charset val="0"/>
      <scheme val="minor"/>
    </font>
    <font>
      <b/>
      <sz val="15"/>
      <color theme="3"/>
      <name val="Calibri"/>
      <charset val="134"/>
      <scheme val="minor"/>
    </font>
    <font>
      <b/>
      <sz val="13"/>
      <color theme="3"/>
      <name val="Calibri"/>
      <charset val="134"/>
      <scheme val="minor"/>
    </font>
    <font>
      <sz val="11"/>
      <color rgb="FF006100"/>
      <name val="Calibri"/>
      <charset val="0"/>
      <scheme val="minor"/>
    </font>
    <font>
      <b/>
      <sz val="11"/>
      <color rgb="FFFA7D00"/>
      <name val="Calibri"/>
      <charset val="0"/>
      <scheme val="minor"/>
    </font>
    <font>
      <sz val="11"/>
      <color rgb="FF3F3F76"/>
      <name val="Calibri"/>
      <charset val="0"/>
      <scheme val="minor"/>
    </font>
    <font>
      <i/>
      <sz val="11"/>
      <name val="Arial"/>
      <charset val="134"/>
    </font>
    <font>
      <sz val="10"/>
      <color rgb="FF000000"/>
      <name val="Calibri"/>
      <charset val="134"/>
    </font>
    <font>
      <u/>
      <sz val="11"/>
      <color rgb="FFF4B183"/>
      <name val="Calibri"/>
      <charset val="134"/>
    </font>
    <font>
      <sz val="9"/>
      <name val="Tahoma"/>
      <charset val="134"/>
    </font>
  </fonts>
  <fills count="48">
    <fill>
      <patternFill patternType="none"/>
    </fill>
    <fill>
      <patternFill patternType="gray125"/>
    </fill>
    <fill>
      <patternFill patternType="solid">
        <fgColor theme="9"/>
        <bgColor theme="9"/>
      </patternFill>
    </fill>
    <fill>
      <patternFill patternType="solid">
        <fgColor theme="0" tint="-0.5"/>
        <bgColor indexed="64"/>
      </patternFill>
    </fill>
    <fill>
      <patternFill patternType="solid">
        <fgColor rgb="FFD7D7D7"/>
        <bgColor indexed="64"/>
      </patternFill>
    </fill>
    <fill>
      <patternFill patternType="solid">
        <fgColor theme="5" tint="0.4"/>
        <bgColor indexed="64"/>
      </patternFill>
    </fill>
    <fill>
      <patternFill patternType="solid">
        <fgColor theme="0" tint="-0.15"/>
        <bgColor indexed="64"/>
      </patternFill>
    </fill>
    <fill>
      <patternFill patternType="solid">
        <fgColor theme="9"/>
        <bgColor indexed="64"/>
      </patternFill>
    </fill>
    <fill>
      <patternFill patternType="solid">
        <fgColor theme="9" tint="0.6"/>
        <bgColor indexed="64"/>
      </patternFill>
    </fill>
    <fill>
      <patternFill patternType="solid">
        <fgColor theme="9" tint="0.4"/>
        <bgColor indexed="64"/>
      </patternFill>
    </fill>
    <fill>
      <patternFill patternType="solid">
        <fgColor rgb="FF70AD47"/>
        <bgColor rgb="FF339966"/>
      </patternFill>
    </fill>
    <fill>
      <patternFill patternType="solid">
        <fgColor rgb="FFC5E0B4"/>
        <bgColor rgb="FFA9D18E"/>
      </patternFill>
    </fill>
    <fill>
      <patternFill patternType="solid">
        <fgColor rgb="FFA9D18E"/>
        <bgColor rgb="FFC5E0B4"/>
      </patternFill>
    </fill>
    <fill>
      <patternFill patternType="solid">
        <fgColor rgb="FFF4B183"/>
        <bgColor rgb="FFFF99CC"/>
      </patternFill>
    </fill>
    <fill>
      <patternFill patternType="solid">
        <fgColor rgb="FFE2F0D9"/>
        <bgColor rgb="FFF2F2F2"/>
      </patternFill>
    </fill>
    <fill>
      <patternFill patternType="solid">
        <fgColor theme="5" tint="0.4"/>
        <bgColor rgb="FFA9D18E"/>
      </patternFill>
    </fill>
    <fill>
      <patternFill patternType="solid">
        <fgColor theme="5" tint="0.4"/>
        <bgColor rgb="FFF2F2F2"/>
      </patternFill>
    </fill>
    <fill>
      <patternFill patternType="solid">
        <fgColor rgb="FFF2F2F2"/>
        <bgColor rgb="FFE2F0D9"/>
      </patternFill>
    </fill>
    <fill>
      <patternFill patternType="solid">
        <fgColor theme="4" tint="0.799981688894314"/>
        <bgColor indexed="64"/>
      </patternFill>
    </fill>
    <fill>
      <patternFill patternType="solid">
        <fgColor rgb="FFA5A5A5"/>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rgb="FFFFEB9C"/>
        <bgColor indexed="64"/>
      </patternFill>
    </fill>
    <fill>
      <patternFill patternType="solid">
        <fgColor rgb="FFFFC7CE"/>
        <bgColor indexed="64"/>
      </patternFill>
    </fill>
    <fill>
      <patternFill patternType="solid">
        <fgColor theme="7" tint="0.599993896298105"/>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5"/>
        <bgColor indexed="64"/>
      </patternFill>
    </fill>
    <fill>
      <patternFill patternType="solid">
        <fgColor theme="7"/>
        <bgColor indexed="64"/>
      </patternFill>
    </fill>
    <fill>
      <patternFill patternType="solid">
        <fgColor theme="4"/>
        <bgColor indexed="64"/>
      </patternFill>
    </fill>
    <fill>
      <patternFill patternType="solid">
        <fgColor theme="5" tint="0.599993896298105"/>
        <bgColor indexed="64"/>
      </patternFill>
    </fill>
    <fill>
      <patternFill patternType="solid">
        <fgColor rgb="FFFFFFCC"/>
        <bgColor indexed="64"/>
      </patternFill>
    </fill>
    <fill>
      <patternFill patternType="solid">
        <fgColor theme="6" tint="0.599993896298105"/>
        <bgColor indexed="64"/>
      </patternFill>
    </fill>
    <fill>
      <patternFill patternType="solid">
        <fgColor theme="6"/>
        <bgColor indexed="64"/>
      </patternFill>
    </fill>
    <fill>
      <patternFill patternType="solid">
        <fgColor theme="9" tint="0.599993896298105"/>
        <bgColor indexed="64"/>
      </patternFill>
    </fill>
    <fill>
      <patternFill patternType="solid">
        <fgColor rgb="FFF2F2F2"/>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8"/>
        <bgColor indexed="64"/>
      </patternFill>
    </fill>
    <fill>
      <patternFill patternType="solid">
        <fgColor theme="5" tint="0.799981688894314"/>
        <bgColor indexed="64"/>
      </patternFill>
    </fill>
    <fill>
      <patternFill patternType="solid">
        <fgColor rgb="FFC6EFCE"/>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7" tint="0.799981688894314"/>
        <bgColor indexed="64"/>
      </patternFill>
    </fill>
  </fills>
  <borders count="32">
    <border>
      <left/>
      <right/>
      <top/>
      <bottom/>
      <diagonal/>
    </border>
    <border>
      <left style="thin">
        <color theme="0"/>
      </left>
      <right/>
      <top/>
      <bottom style="thick">
        <color theme="0"/>
      </bottom>
      <diagonal/>
    </border>
    <border>
      <left/>
      <right/>
      <top/>
      <bottom style="thick">
        <color theme="0"/>
      </bottom>
      <diagonal/>
    </border>
    <border>
      <left/>
      <right style="thin">
        <color theme="0"/>
      </right>
      <top/>
      <bottom style="thick">
        <color theme="0"/>
      </bottom>
      <diagonal/>
    </border>
    <border>
      <left style="thin">
        <color theme="0"/>
      </left>
      <right style="thin">
        <color auto="1"/>
      </right>
      <top style="thin">
        <color theme="0"/>
      </top>
      <bottom style="thin">
        <color theme="0"/>
      </bottom>
      <diagonal/>
    </border>
    <border>
      <left style="thin">
        <color auto="1"/>
      </left>
      <right style="thin">
        <color auto="1"/>
      </right>
      <top style="thin">
        <color theme="0"/>
      </top>
      <bottom style="thin">
        <color theme="0"/>
      </bottom>
      <diagonal/>
    </border>
    <border>
      <left style="thin">
        <color auto="1"/>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theme="0"/>
      </right>
      <top style="thin">
        <color theme="0"/>
      </top>
      <bottom style="thin">
        <color theme="0"/>
      </bottom>
      <diagonal/>
    </border>
    <border>
      <left style="thin">
        <color rgb="FFFFFFFF"/>
      </left>
      <right style="thin">
        <color rgb="FFFFFFFF"/>
      </right>
      <top/>
      <bottom style="thick">
        <color rgb="FFFFFFFF"/>
      </bottom>
      <diagonal/>
    </border>
    <border>
      <left/>
      <right/>
      <top style="thick">
        <color rgb="FFFFFFFF"/>
      </top>
      <bottom style="thin">
        <color rgb="FFFFFFFF"/>
      </bottom>
      <diagonal/>
    </border>
    <border>
      <left/>
      <right/>
      <top/>
      <bottom style="thin">
        <color rgb="FFFFFFFF"/>
      </bottom>
      <diagonal/>
    </border>
    <border>
      <left/>
      <right style="thin">
        <color rgb="FFFFFFFF"/>
      </right>
      <top style="thick">
        <color rgb="FFFFFFFF"/>
      </top>
      <bottom style="thin">
        <color rgb="FFFFFFFF"/>
      </bottom>
      <diagonal/>
    </border>
    <border>
      <left style="thin">
        <color rgb="FFFFFFFF"/>
      </left>
      <right style="thin">
        <color rgb="FFFFFFFF"/>
      </right>
      <top style="thick">
        <color rgb="FFFFFFFF"/>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style="thin">
        <color rgb="FFFFFFFF"/>
      </right>
      <top/>
      <bottom style="thick">
        <color rgb="FFFFFFFF"/>
      </bottom>
      <diagonal/>
    </border>
    <border>
      <left style="thin">
        <color rgb="FFFFFFFF"/>
      </left>
      <right/>
      <top/>
      <bottom style="thick">
        <color rgb="FFFFFFFF"/>
      </bottom>
      <diagonal/>
    </border>
    <border>
      <left style="thin">
        <color rgb="FFFFFFFF"/>
      </left>
      <right/>
      <top style="thin">
        <color rgb="FFFFFFFF"/>
      </top>
      <bottom style="thin">
        <color rgb="FFFFFFFF"/>
      </bottom>
      <diagonal/>
    </border>
    <border>
      <left style="thin">
        <color rgb="FFFFFFFF"/>
      </left>
      <right style="thin">
        <color rgb="FFFFFFFF"/>
      </right>
      <top style="thin">
        <color rgb="FFFFFFFF"/>
      </top>
      <bottom style="thick">
        <color rgb="FFFFFFFF"/>
      </bottom>
      <diagonal/>
    </border>
    <border>
      <left style="thin">
        <color rgb="FFFFFFFF"/>
      </left>
      <right style="thin">
        <color rgb="FFFFFFFF"/>
      </right>
      <top style="thin">
        <color rgb="FFFFFFFF"/>
      </top>
      <bottom/>
      <diagonal/>
    </border>
    <border>
      <left style="thin">
        <color rgb="FFFFFFFF"/>
      </left>
      <right/>
      <top/>
      <bottom/>
      <diagonal/>
    </border>
    <border>
      <left style="thin">
        <color auto="1"/>
      </left>
      <right style="thin">
        <color auto="1"/>
      </right>
      <top style="thin">
        <color auto="1"/>
      </top>
      <bottom/>
      <diagonal/>
    </border>
    <border>
      <left/>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s>
  <cellStyleXfs count="49">
    <xf numFmtId="0" fontId="0" fillId="0" borderId="0"/>
    <xf numFmtId="177" fontId="25" fillId="0" borderId="0" applyBorder="0" applyAlignment="0" applyProtection="0"/>
    <xf numFmtId="176" fontId="25" fillId="0" borderId="0" applyBorder="0" applyAlignment="0" applyProtection="0"/>
    <xf numFmtId="0" fontId="24" fillId="24" borderId="0" applyNumberFormat="0" applyBorder="0" applyAlignment="0" applyProtection="0">
      <alignment vertical="center"/>
    </xf>
    <xf numFmtId="9" fontId="0" fillId="0" borderId="0" applyBorder="0" applyProtection="0"/>
    <xf numFmtId="0" fontId="30" fillId="0" borderId="25" applyNumberFormat="0" applyFill="0" applyAlignment="0" applyProtection="0">
      <alignment vertical="center"/>
    </xf>
    <xf numFmtId="0" fontId="26" fillId="19" borderId="24" applyNumberFormat="0" applyAlignment="0" applyProtection="0">
      <alignment vertical="center"/>
    </xf>
    <xf numFmtId="178" fontId="25" fillId="0" borderId="0" applyBorder="0" applyAlignment="0" applyProtection="0"/>
    <xf numFmtId="0" fontId="24" fillId="28" borderId="0" applyNumberFormat="0" applyBorder="0" applyAlignment="0" applyProtection="0">
      <alignment vertical="center"/>
    </xf>
    <xf numFmtId="180" fontId="0" fillId="0" borderId="0" applyBorder="0" applyProtection="0"/>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4" fillId="32" borderId="0" applyNumberFormat="0" applyBorder="0" applyAlignment="0" applyProtection="0">
      <alignment vertical="center"/>
    </xf>
    <xf numFmtId="0" fontId="35" fillId="33" borderId="27" applyNumberFormat="0" applyFont="0" applyAlignment="0" applyProtection="0">
      <alignment vertical="center"/>
    </xf>
    <xf numFmtId="0" fontId="24" fillId="36" borderId="0" applyNumberFormat="0" applyBorder="0" applyAlignment="0" applyProtection="0">
      <alignment vertical="center"/>
    </xf>
    <xf numFmtId="0" fontId="37"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27" fillId="35" borderId="0" applyNumberFormat="0" applyBorder="0" applyAlignment="0" applyProtection="0">
      <alignment vertical="center"/>
    </xf>
    <xf numFmtId="0" fontId="40" fillId="0" borderId="29" applyNumberFormat="0" applyFill="0" applyAlignment="0" applyProtection="0">
      <alignment vertical="center"/>
    </xf>
    <xf numFmtId="0" fontId="27" fillId="30" borderId="0" applyNumberFormat="0" applyBorder="0" applyAlignment="0" applyProtection="0">
      <alignment vertical="center"/>
    </xf>
    <xf numFmtId="0" fontId="41" fillId="0" borderId="29" applyNumberFormat="0" applyFill="0" applyAlignment="0" applyProtection="0">
      <alignment vertical="center"/>
    </xf>
    <xf numFmtId="0" fontId="27" fillId="40" borderId="0" applyNumberFormat="0" applyBorder="0" applyAlignment="0" applyProtection="0">
      <alignment vertical="center"/>
    </xf>
    <xf numFmtId="0" fontId="36" fillId="0" borderId="30" applyNumberFormat="0" applyFill="0" applyAlignment="0" applyProtection="0">
      <alignment vertical="center"/>
    </xf>
    <xf numFmtId="0" fontId="27" fillId="7" borderId="0" applyNumberFormat="0" applyBorder="0" applyAlignment="0" applyProtection="0">
      <alignment vertical="center"/>
    </xf>
    <xf numFmtId="0" fontId="36" fillId="0" borderId="0" applyNumberFormat="0" applyFill="0" applyBorder="0" applyAlignment="0" applyProtection="0">
      <alignment vertical="center"/>
    </xf>
    <xf numFmtId="0" fontId="44" fillId="44" borderId="31" applyNumberFormat="0" applyAlignment="0" applyProtection="0">
      <alignment vertical="center"/>
    </xf>
    <xf numFmtId="0" fontId="38" fillId="37" borderId="28" applyNumberFormat="0" applyAlignment="0" applyProtection="0">
      <alignment vertical="center"/>
    </xf>
    <xf numFmtId="0" fontId="43" fillId="37" borderId="31" applyNumberFormat="0" applyAlignment="0" applyProtection="0">
      <alignment vertical="center"/>
    </xf>
    <xf numFmtId="0" fontId="31" fillId="0" borderId="26" applyNumberFormat="0" applyFill="0" applyAlignment="0" applyProtection="0">
      <alignment vertical="center"/>
    </xf>
    <xf numFmtId="0" fontId="24" fillId="45" borderId="0" applyNumberFormat="0" applyBorder="0" applyAlignment="0" applyProtection="0">
      <alignment vertical="center"/>
    </xf>
    <xf numFmtId="0" fontId="42" fillId="42" borderId="0" applyNumberFormat="0" applyBorder="0" applyAlignment="0" applyProtection="0">
      <alignment vertical="center"/>
    </xf>
    <xf numFmtId="0" fontId="29" fillId="23" borderId="0" applyNumberFormat="0" applyBorder="0" applyAlignment="0" applyProtection="0">
      <alignment vertical="center"/>
    </xf>
    <xf numFmtId="0" fontId="28" fillId="22" borderId="0" applyNumberFormat="0" applyBorder="0" applyAlignment="0" applyProtection="0">
      <alignment vertical="center"/>
    </xf>
    <xf numFmtId="0" fontId="24" fillId="39" borderId="0" applyNumberFormat="0" applyBorder="0" applyAlignment="0" applyProtection="0">
      <alignment vertical="center"/>
    </xf>
    <xf numFmtId="0" fontId="27" fillId="31" borderId="0" applyNumberFormat="0" applyBorder="0" applyAlignment="0" applyProtection="0">
      <alignment vertical="center"/>
    </xf>
    <xf numFmtId="0" fontId="24" fillId="18" borderId="0" applyNumberFormat="0" applyBorder="0" applyAlignment="0" applyProtection="0">
      <alignment vertical="center"/>
    </xf>
    <xf numFmtId="0" fontId="27" fillId="27" borderId="0" applyNumberFormat="0" applyBorder="0" applyAlignment="0" applyProtection="0">
      <alignment vertical="center"/>
    </xf>
    <xf numFmtId="0" fontId="24" fillId="26" borderId="0" applyNumberFormat="0" applyBorder="0" applyAlignment="0" applyProtection="0">
      <alignment vertical="center"/>
    </xf>
    <xf numFmtId="0" fontId="27" fillId="29" borderId="0" applyNumberFormat="0" applyBorder="0" applyAlignment="0" applyProtection="0">
      <alignment vertical="center"/>
    </xf>
    <xf numFmtId="0" fontId="24" fillId="41" borderId="0" applyNumberFormat="0" applyBorder="0" applyAlignment="0" applyProtection="0">
      <alignment vertical="center"/>
    </xf>
    <xf numFmtId="0" fontId="27" fillId="43" borderId="0" applyNumberFormat="0" applyBorder="0" applyAlignment="0" applyProtection="0">
      <alignment vertical="center"/>
    </xf>
    <xf numFmtId="0" fontId="24" fillId="34" borderId="0" applyNumberFormat="0" applyBorder="0" applyAlignment="0" applyProtection="0">
      <alignment vertical="center"/>
    </xf>
    <xf numFmtId="0" fontId="27" fillId="38" borderId="0" applyNumberFormat="0" applyBorder="0" applyAlignment="0" applyProtection="0">
      <alignment vertical="center"/>
    </xf>
    <xf numFmtId="0" fontId="24" fillId="47" borderId="0" applyNumberFormat="0" applyBorder="0" applyAlignment="0" applyProtection="0">
      <alignment vertical="center"/>
    </xf>
    <xf numFmtId="0" fontId="27" fillId="21" borderId="0" applyNumberFormat="0" applyBorder="0" applyAlignment="0" applyProtection="0">
      <alignment vertical="center"/>
    </xf>
    <xf numFmtId="0" fontId="24" fillId="46" borderId="0" applyNumberFormat="0" applyBorder="0" applyAlignment="0" applyProtection="0">
      <alignment vertical="center"/>
    </xf>
    <xf numFmtId="0" fontId="27" fillId="20" borderId="0" applyNumberFormat="0" applyBorder="0" applyAlignment="0" applyProtection="0">
      <alignment vertical="center"/>
    </xf>
    <xf numFmtId="0" fontId="27" fillId="25" borderId="0" applyNumberFormat="0" applyBorder="0" applyAlignment="0" applyProtection="0">
      <alignment vertical="center"/>
    </xf>
  </cellStyleXfs>
  <cellXfs count="190">
    <xf numFmtId="0" fontId="0" fillId="0" borderId="0" xfId="0"/>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2" fillId="0" borderId="0" xfId="0" applyFont="1" applyFill="1" applyAlignment="1">
      <alignment horizontal="justify" vertical="center" wrapText="1"/>
    </xf>
    <xf numFmtId="181" fontId="2" fillId="0" borderId="0" xfId="0" applyNumberFormat="1" applyFont="1" applyFill="1" applyAlignment="1">
      <alignment horizontal="center" vertical="center"/>
    </xf>
    <xf numFmtId="0" fontId="2" fillId="0" borderId="0" xfId="0" applyFont="1" applyFill="1" applyAlignment="1">
      <alignment vertical="center"/>
    </xf>
    <xf numFmtId="0" fontId="3" fillId="3" borderId="0" xfId="0" applyFont="1" applyFill="1" applyAlignment="1">
      <alignment horizontal="center" vertical="center"/>
    </xf>
    <xf numFmtId="0" fontId="4" fillId="3" borderId="0" xfId="0" applyFont="1" applyFill="1" applyAlignment="1">
      <alignment horizontal="center" vertical="center"/>
    </xf>
    <xf numFmtId="0" fontId="5" fillId="4" borderId="0" xfId="0" applyFont="1" applyFill="1" applyAlignment="1">
      <alignment horizontal="center" vertical="center" wrapText="1"/>
    </xf>
    <xf numFmtId="0" fontId="6" fillId="4" borderId="0" xfId="0" applyFont="1" applyFill="1" applyAlignment="1">
      <alignment horizontal="center" vertical="center" wrapText="1"/>
    </xf>
    <xf numFmtId="0" fontId="7" fillId="0" borderId="0" xfId="0" applyFont="1" applyAlignment="1">
      <alignment horizontal="center" vertical="center" wrapText="1"/>
    </xf>
    <xf numFmtId="0" fontId="6" fillId="0" borderId="0" xfId="0" applyFont="1" applyAlignment="1">
      <alignment horizontal="justify" vertical="center" wrapText="1"/>
    </xf>
    <xf numFmtId="179" fontId="0" fillId="5" borderId="0" xfId="0" applyNumberFormat="1" applyFill="1" applyAlignment="1">
      <alignment horizontal="center" vertical="center"/>
    </xf>
    <xf numFmtId="179" fontId="0" fillId="0" borderId="0" xfId="0" applyNumberFormat="1" applyAlignment="1">
      <alignment horizontal="center" vertical="center"/>
    </xf>
    <xf numFmtId="0" fontId="6" fillId="0" borderId="0" xfId="0" applyFont="1" applyAlignment="1">
      <alignment horizontal="justify" vertical="center"/>
    </xf>
    <xf numFmtId="0" fontId="5" fillId="3" borderId="0" xfId="0" applyFont="1" applyFill="1" applyAlignment="1">
      <alignment horizontal="center"/>
    </xf>
    <xf numFmtId="0" fontId="6" fillId="3" borderId="0" xfId="0" applyFont="1" applyFill="1" applyAlignment="1">
      <alignment horizontal="center"/>
    </xf>
    <xf numFmtId="179" fontId="5" fillId="3" borderId="0" xfId="0" applyNumberFormat="1" applyFont="1" applyFill="1" applyAlignment="1">
      <alignment horizontal="center"/>
    </xf>
    <xf numFmtId="0" fontId="0" fillId="0" borderId="0" xfId="0" applyFont="1"/>
    <xf numFmtId="0" fontId="8" fillId="3" borderId="0" xfId="0" applyFont="1" applyFill="1" applyAlignment="1">
      <alignment horizontal="center"/>
    </xf>
    <xf numFmtId="0" fontId="1" fillId="3" borderId="0" xfId="0" applyFont="1" applyFill="1" applyAlignment="1">
      <alignment horizontal="center"/>
    </xf>
    <xf numFmtId="0" fontId="9" fillId="6" borderId="0" xfId="0" applyFont="1" applyFill="1" applyAlignment="1">
      <alignment horizontal="center" vertical="center"/>
    </xf>
    <xf numFmtId="0" fontId="10" fillId="6" borderId="0" xfId="0" applyFont="1" applyFill="1" applyAlignment="1">
      <alignment horizontal="center" vertical="center"/>
    </xf>
    <xf numFmtId="0" fontId="11" fillId="6" borderId="0" xfId="0" applyFont="1" applyFill="1" applyAlignment="1">
      <alignment horizontal="center" vertical="center"/>
    </xf>
    <xf numFmtId="0" fontId="9" fillId="6" borderId="0" xfId="0" applyFont="1" applyFill="1" applyAlignment="1">
      <alignment horizontal="center" vertical="center" wrapText="1"/>
    </xf>
    <xf numFmtId="0" fontId="2" fillId="0" borderId="0" xfId="0" applyFont="1" applyFill="1" applyAlignment="1">
      <alignment horizontal="center"/>
    </xf>
    <xf numFmtId="0" fontId="2" fillId="0" borderId="0" xfId="0" applyFont="1" applyFill="1" applyAlignment="1">
      <alignment wrapText="1"/>
    </xf>
    <xf numFmtId="182" fontId="2" fillId="0" borderId="0" xfId="0" applyNumberFormat="1" applyFont="1" applyFill="1" applyAlignment="1">
      <alignment horizontal="center" vertical="center"/>
    </xf>
    <xf numFmtId="0" fontId="12" fillId="7" borderId="4" xfId="0" applyFont="1" applyFill="1" applyBorder="1" applyAlignment="1">
      <alignment horizontal="center"/>
    </xf>
    <xf numFmtId="0" fontId="12" fillId="7" borderId="5" xfId="0" applyFont="1" applyFill="1" applyBorder="1" applyAlignment="1">
      <alignment horizontal="center"/>
    </xf>
    <xf numFmtId="0" fontId="12" fillId="7" borderId="6" xfId="0" applyFont="1" applyFill="1" applyBorder="1" applyAlignment="1">
      <alignment horizontal="center"/>
    </xf>
    <xf numFmtId="182" fontId="12" fillId="7" borderId="7" xfId="0" applyNumberFormat="1" applyFont="1" applyFill="1" applyBorder="1" applyAlignment="1">
      <alignment horizontal="center"/>
    </xf>
    <xf numFmtId="0" fontId="12" fillId="7" borderId="8" xfId="0" applyFont="1" applyFill="1" applyBorder="1" applyAlignment="1">
      <alignment horizontal="center"/>
    </xf>
    <xf numFmtId="182" fontId="12" fillId="7" borderId="8" xfId="0" applyNumberFormat="1" applyFont="1" applyFill="1" applyBorder="1" applyAlignment="1">
      <alignment horizontal="center"/>
    </xf>
    <xf numFmtId="0" fontId="12" fillId="7" borderId="8" xfId="0" applyNumberFormat="1" applyFont="1" applyFill="1" applyBorder="1" applyAlignment="1">
      <alignment horizontal="center"/>
    </xf>
    <xf numFmtId="0" fontId="2" fillId="0" borderId="0" xfId="0" applyFont="1" applyFill="1" applyAlignment="1"/>
    <xf numFmtId="0" fontId="1" fillId="0" borderId="0" xfId="0" applyFont="1" applyFill="1" applyAlignment="1">
      <alignment horizontal="justify" wrapText="1"/>
    </xf>
    <xf numFmtId="0" fontId="2" fillId="0" borderId="0" xfId="0" applyFont="1" applyFill="1" applyAlignment="1">
      <alignment horizontal="justify" wrapText="1"/>
    </xf>
    <xf numFmtId="0" fontId="3" fillId="3" borderId="0" xfId="0" applyFont="1" applyFill="1" applyAlignment="1">
      <alignment horizontal="center"/>
    </xf>
    <xf numFmtId="0" fontId="13" fillId="4" borderId="0" xfId="0" applyFont="1" applyFill="1" applyAlignment="1">
      <alignment horizontal="center" vertical="center" wrapText="1"/>
    </xf>
    <xf numFmtId="0" fontId="14" fillId="0" borderId="0" xfId="0" applyFont="1" applyAlignment="1">
      <alignment horizontal="center" vertical="center" wrapText="1"/>
    </xf>
    <xf numFmtId="0" fontId="3" fillId="0" borderId="0" xfId="0" applyFont="1" applyAlignment="1">
      <alignment horizontal="center" wrapText="1"/>
    </xf>
    <xf numFmtId="0" fontId="11" fillId="0" borderId="0" xfId="0" applyFont="1" applyAlignment="1">
      <alignment horizontal="justify" wrapText="1"/>
    </xf>
    <xf numFmtId="0" fontId="11" fillId="0" borderId="0" xfId="0" applyFont="1" applyAlignment="1">
      <alignment horizontal="center" vertical="center" wrapText="1"/>
    </xf>
    <xf numFmtId="0" fontId="11" fillId="0" borderId="0" xfId="0" applyFont="1" applyAlignment="1">
      <alignment horizontal="center" wrapText="1"/>
    </xf>
    <xf numFmtId="0" fontId="5" fillId="3" borderId="0" xfId="0" applyFont="1" applyFill="1" applyAlignment="1">
      <alignment horizontal="center" vertical="center"/>
    </xf>
    <xf numFmtId="179" fontId="5" fillId="3" borderId="0" xfId="0" applyNumberFormat="1" applyFont="1" applyFill="1" applyAlignment="1">
      <alignment horizontal="center" vertical="center"/>
    </xf>
    <xf numFmtId="0" fontId="0" fillId="0" borderId="0" xfId="0" applyAlignment="1">
      <alignment horizontal="center" vertical="center" wrapText="1"/>
    </xf>
    <xf numFmtId="0" fontId="0" fillId="0" borderId="0" xfId="0" applyAlignment="1">
      <alignment horizontal="center" vertical="center"/>
    </xf>
    <xf numFmtId="0" fontId="15" fillId="7" borderId="0" xfId="0" applyFont="1" applyFill="1" applyBorder="1" applyAlignment="1">
      <alignment horizontal="center"/>
    </xf>
    <xf numFmtId="0" fontId="15" fillId="7" borderId="0" xfId="0" applyFont="1" applyFill="1" applyBorder="1" applyAlignment="1">
      <alignment horizontal="center" vertical="center" wrapText="1"/>
    </xf>
    <xf numFmtId="0" fontId="15" fillId="7" borderId="0" xfId="0" applyFont="1" applyFill="1" applyBorder="1" applyAlignment="1">
      <alignment horizontal="center" vertical="center"/>
    </xf>
    <xf numFmtId="0" fontId="4" fillId="8" borderId="0" xfId="0" applyFont="1" applyFill="1" applyAlignment="1">
      <alignment horizontal="center"/>
    </xf>
    <xf numFmtId="0" fontId="4" fillId="8" borderId="0" xfId="0" applyFont="1" applyFill="1" applyAlignment="1">
      <alignment horizontal="center" vertical="center" wrapText="1"/>
    </xf>
    <xf numFmtId="0" fontId="4" fillId="8" borderId="0" xfId="0" applyFont="1" applyFill="1" applyAlignment="1">
      <alignment horizontal="center" vertical="center"/>
    </xf>
    <xf numFmtId="0" fontId="6" fillId="9" borderId="0" xfId="0" applyFont="1" applyFill="1" applyAlignment="1">
      <alignment horizontal="center" vertical="center" wrapText="1"/>
    </xf>
    <xf numFmtId="0" fontId="16" fillId="0" borderId="0" xfId="0" applyFont="1" applyAlignment="1">
      <alignment horizontal="center" vertical="center" wrapText="1"/>
    </xf>
    <xf numFmtId="0" fontId="17" fillId="0" borderId="0" xfId="0" applyFont="1" applyAlignment="1">
      <alignment horizontal="justify" vertical="center" wrapText="1"/>
    </xf>
    <xf numFmtId="179" fontId="16" fillId="5" borderId="0" xfId="0" applyNumberFormat="1" applyFont="1" applyFill="1" applyAlignment="1">
      <alignment horizontal="center" vertical="center" wrapText="1"/>
    </xf>
    <xf numFmtId="179" fontId="16" fillId="0" borderId="0" xfId="0" applyNumberFormat="1" applyFont="1" applyAlignment="1">
      <alignment horizontal="center" vertical="center" wrapText="1"/>
    </xf>
    <xf numFmtId="0" fontId="11" fillId="0" borderId="0" xfId="0" applyFont="1" applyAlignment="1">
      <alignment horizontal="justify" vertical="center" wrapText="1"/>
    </xf>
    <xf numFmtId="0" fontId="17" fillId="0" borderId="0" xfId="0" applyFont="1" applyAlignment="1">
      <alignment horizontal="center" vertical="center" wrapText="1"/>
    </xf>
    <xf numFmtId="0" fontId="17" fillId="0" borderId="0" xfId="0" applyFont="1" applyAlignment="1">
      <alignment horizontal="justify" wrapText="1"/>
    </xf>
    <xf numFmtId="0" fontId="18" fillId="10" borderId="9" xfId="0" applyFont="1" applyFill="1" applyBorder="1" applyAlignment="1">
      <alignment horizontal="center" vertical="center"/>
    </xf>
    <xf numFmtId="0" fontId="18" fillId="10" borderId="9" xfId="0" applyFont="1" applyFill="1" applyBorder="1" applyAlignment="1">
      <alignment horizontal="center"/>
    </xf>
    <xf numFmtId="0" fontId="6" fillId="11" borderId="10" xfId="0" applyFont="1" applyFill="1" applyBorder="1" applyAlignment="1">
      <alignment horizontal="justify" vertical="center" wrapText="1"/>
    </xf>
    <xf numFmtId="0" fontId="6" fillId="11" borderId="10" xfId="0" applyFont="1" applyFill="1" applyBorder="1" applyAlignment="1">
      <alignment horizontal="justify" wrapText="1"/>
    </xf>
    <xf numFmtId="0" fontId="6" fillId="12" borderId="0" xfId="0" applyFont="1" applyFill="1" applyBorder="1" applyAlignment="1">
      <alignment horizontal="center" vertical="center" wrapText="1"/>
    </xf>
    <xf numFmtId="49" fontId="0" fillId="12" borderId="0" xfId="0" applyNumberFormat="1" applyFont="1" applyFill="1" applyBorder="1" applyAlignment="1">
      <alignment horizontal="left"/>
    </xf>
    <xf numFmtId="0" fontId="0" fillId="12" borderId="0" xfId="0" applyFont="1" applyFill="1" applyBorder="1" applyAlignment="1">
      <alignment horizontal="left"/>
    </xf>
    <xf numFmtId="0" fontId="6" fillId="0" borderId="0" xfId="0" applyFont="1" applyBorder="1" applyAlignment="1">
      <alignment horizontal="center" vertical="center" wrapText="1"/>
    </xf>
    <xf numFmtId="0" fontId="0" fillId="0" borderId="0" xfId="0" applyFont="1" applyBorder="1" applyAlignment="1">
      <alignment horizontal="left"/>
    </xf>
    <xf numFmtId="0" fontId="19" fillId="10" borderId="11" xfId="0" applyFont="1" applyFill="1" applyBorder="1" applyAlignment="1">
      <alignment horizontal="center" vertical="center"/>
    </xf>
    <xf numFmtId="0" fontId="19" fillId="10" borderId="11" xfId="0" applyFont="1" applyFill="1" applyBorder="1" applyAlignment="1">
      <alignment horizontal="center"/>
    </xf>
    <xf numFmtId="0" fontId="0" fillId="11" borderId="12" xfId="0" applyFont="1" applyFill="1" applyBorder="1" applyAlignment="1">
      <alignment horizontal="center" vertical="center"/>
    </xf>
    <xf numFmtId="0" fontId="0" fillId="11" borderId="13" xfId="0" applyFont="1" applyFill="1" applyBorder="1"/>
    <xf numFmtId="0" fontId="0" fillId="13" borderId="13" xfId="0" applyFont="1" applyFill="1" applyBorder="1" applyAlignment="1">
      <alignment horizontal="center"/>
    </xf>
    <xf numFmtId="0" fontId="0" fillId="14" borderId="14" xfId="0" applyFont="1" applyFill="1" applyBorder="1" applyAlignment="1">
      <alignment horizontal="center" vertical="center"/>
    </xf>
    <xf numFmtId="0" fontId="0" fillId="14" borderId="15" xfId="0" applyFont="1" applyFill="1" applyBorder="1"/>
    <xf numFmtId="0" fontId="0" fillId="13" borderId="15" xfId="0" applyFont="1" applyFill="1" applyBorder="1" applyAlignment="1">
      <alignment horizontal="center"/>
    </xf>
    <xf numFmtId="0" fontId="0" fillId="11" borderId="14" xfId="0" applyFont="1" applyFill="1" applyBorder="1" applyAlignment="1">
      <alignment horizontal="center" vertical="center"/>
    </xf>
    <xf numFmtId="0" fontId="0" fillId="11" borderId="15" xfId="0" applyFont="1" applyFill="1" applyBorder="1"/>
    <xf numFmtId="0" fontId="19" fillId="10" borderId="9" xfId="0" applyFont="1" applyFill="1" applyBorder="1" applyAlignment="1">
      <alignment horizontal="center" vertical="center"/>
    </xf>
    <xf numFmtId="0" fontId="19" fillId="10" borderId="9" xfId="0" applyFont="1" applyFill="1" applyBorder="1" applyAlignment="1">
      <alignment horizontal="center"/>
    </xf>
    <xf numFmtId="0" fontId="19" fillId="10" borderId="16" xfId="0" applyFont="1" applyFill="1" applyBorder="1" applyAlignment="1">
      <alignment horizontal="center" vertical="center" wrapText="1"/>
    </xf>
    <xf numFmtId="0" fontId="19" fillId="10" borderId="16" xfId="0" applyFont="1" applyFill="1" applyBorder="1" applyAlignment="1">
      <alignment horizontal="center" wrapText="1"/>
    </xf>
    <xf numFmtId="0" fontId="19" fillId="10" borderId="17" xfId="0" applyFont="1" applyFill="1" applyBorder="1" applyAlignment="1">
      <alignment horizontal="center"/>
    </xf>
    <xf numFmtId="0" fontId="0" fillId="11" borderId="15" xfId="0" applyFont="1" applyFill="1" applyBorder="1" applyAlignment="1">
      <alignment horizontal="center" vertical="center"/>
    </xf>
    <xf numFmtId="0" fontId="0" fillId="11" borderId="15" xfId="0" applyFont="1" applyFill="1" applyBorder="1" applyAlignment="1">
      <alignment horizontal="center"/>
    </xf>
    <xf numFmtId="0" fontId="0" fillId="13" borderId="18" xfId="0" applyFont="1" applyFill="1" applyBorder="1" applyAlignment="1">
      <alignment horizontal="center"/>
    </xf>
    <xf numFmtId="0" fontId="0" fillId="14" borderId="15" xfId="0" applyFont="1" applyFill="1" applyBorder="1" applyAlignment="1">
      <alignment horizontal="center" vertical="center"/>
    </xf>
    <xf numFmtId="0" fontId="0" fillId="14" borderId="15" xfId="0" applyFont="1" applyFill="1" applyBorder="1" applyAlignment="1">
      <alignment horizontal="center"/>
    </xf>
    <xf numFmtId="183" fontId="0" fillId="13" borderId="18" xfId="0" applyNumberFormat="1" applyFont="1" applyFill="1" applyBorder="1" applyAlignment="1">
      <alignment horizontal="center"/>
    </xf>
    <xf numFmtId="0" fontId="6" fillId="0" borderId="0" xfId="0" applyFont="1" applyBorder="1" applyAlignment="1">
      <alignment horizontal="center"/>
    </xf>
    <xf numFmtId="0" fontId="0" fillId="0" borderId="0" xfId="0" applyFont="1" applyAlignment="1">
      <alignment horizontal="center" vertical="center"/>
    </xf>
    <xf numFmtId="0" fontId="0" fillId="0" borderId="0" xfId="0" applyFont="1" applyAlignment="1">
      <alignment horizontal="center"/>
    </xf>
    <xf numFmtId="0" fontId="0" fillId="13" borderId="0" xfId="0" applyFill="1" applyAlignment="1">
      <alignment horizontal="center"/>
    </xf>
    <xf numFmtId="183" fontId="0" fillId="13" borderId="0" xfId="0" applyNumberFormat="1" applyFill="1" applyAlignment="1">
      <alignment horizontal="center"/>
    </xf>
    <xf numFmtId="0" fontId="0" fillId="13" borderId="0" xfId="0" applyFont="1" applyFill="1" applyAlignment="1">
      <alignment horizontal="center"/>
    </xf>
    <xf numFmtId="49" fontId="0" fillId="13" borderId="0" xfId="0" applyNumberFormat="1" applyFont="1" applyFill="1" applyAlignment="1">
      <alignment horizontal="center"/>
    </xf>
    <xf numFmtId="10" fontId="0" fillId="0" borderId="0" xfId="0" applyNumberFormat="1"/>
    <xf numFmtId="183" fontId="0" fillId="0" borderId="0" xfId="0" applyNumberFormat="1" applyAlignment="1">
      <alignment horizontal="center"/>
    </xf>
    <xf numFmtId="0" fontId="20" fillId="0" borderId="0" xfId="0" applyFont="1"/>
    <xf numFmtId="0" fontId="19" fillId="10" borderId="0" xfId="0" applyFont="1" applyFill="1" applyBorder="1" applyAlignment="1">
      <alignment horizontal="center" vertical="center"/>
    </xf>
    <xf numFmtId="0" fontId="19" fillId="10" borderId="0" xfId="0" applyFont="1" applyFill="1" applyBorder="1" applyAlignment="1">
      <alignment horizontal="center"/>
    </xf>
    <xf numFmtId="0" fontId="6" fillId="0" borderId="0" xfId="0" applyFont="1" applyBorder="1" applyAlignment="1">
      <alignment horizontal="center" vertical="center"/>
    </xf>
    <xf numFmtId="10" fontId="0" fillId="0" borderId="0" xfId="4" applyNumberFormat="1" applyFont="1" applyBorder="1" applyAlignment="1" applyProtection="1">
      <alignment horizontal="center"/>
    </xf>
    <xf numFmtId="0" fontId="0" fillId="0" borderId="0" xfId="0" applyAlignment="1"/>
    <xf numFmtId="0" fontId="6" fillId="11" borderId="13" xfId="0" applyFont="1" applyFill="1" applyBorder="1" applyAlignment="1">
      <alignment horizontal="center" vertical="center"/>
    </xf>
    <xf numFmtId="184" fontId="0" fillId="13" borderId="19" xfId="0" applyNumberFormat="1" applyFont="1" applyFill="1" applyBorder="1" applyAlignment="1">
      <alignment horizontal="center" vertical="center"/>
    </xf>
    <xf numFmtId="0" fontId="6" fillId="14" borderId="19" xfId="0" applyFont="1" applyFill="1" applyBorder="1" applyAlignment="1">
      <alignment horizontal="center" vertical="center"/>
    </xf>
    <xf numFmtId="184" fontId="6" fillId="13" borderId="19" xfId="0" applyNumberFormat="1" applyFont="1" applyFill="1" applyBorder="1" applyAlignment="1">
      <alignment horizontal="center" vertical="center"/>
    </xf>
    <xf numFmtId="10" fontId="0" fillId="0" borderId="0" xfId="0" applyNumberFormat="1" applyAlignment="1">
      <alignment horizontal="center"/>
    </xf>
    <xf numFmtId="10" fontId="0" fillId="13" borderId="0" xfId="4" applyNumberFormat="1" applyFont="1" applyFill="1" applyBorder="1" applyAlignment="1" applyProtection="1">
      <alignment horizontal="center"/>
    </xf>
    <xf numFmtId="183" fontId="0" fillId="13" borderId="0" xfId="0" applyNumberFormat="1" applyFont="1" applyFill="1" applyAlignment="1">
      <alignment horizontal="center"/>
    </xf>
    <xf numFmtId="0" fontId="0" fillId="0" borderId="0" xfId="0" applyFont="1" applyAlignment="1">
      <alignment vertical="center"/>
    </xf>
    <xf numFmtId="183" fontId="0" fillId="13" borderId="0" xfId="0" applyNumberFormat="1" applyFill="1" applyAlignment="1">
      <alignment horizontal="center" vertical="center"/>
    </xf>
    <xf numFmtId="183" fontId="0" fillId="0" borderId="0" xfId="0" applyNumberFormat="1" applyFont="1" applyAlignment="1">
      <alignment horizontal="left" vertical="center"/>
    </xf>
    <xf numFmtId="10" fontId="0" fillId="0" borderId="0" xfId="4" applyNumberFormat="1" applyFont="1" applyBorder="1" applyAlignment="1" applyProtection="1">
      <alignment horizontal="center" vertical="center"/>
    </xf>
    <xf numFmtId="0" fontId="0" fillId="0" borderId="0" xfId="0" applyFont="1" applyAlignment="1">
      <alignment wrapText="1"/>
    </xf>
    <xf numFmtId="10" fontId="0" fillId="13" borderId="0" xfId="4" applyNumberFormat="1" applyFont="1" applyFill="1" applyBorder="1" applyAlignment="1" applyProtection="1">
      <alignment horizontal="center" vertical="center"/>
    </xf>
    <xf numFmtId="0" fontId="19" fillId="10" borderId="0" xfId="0" applyFont="1" applyFill="1" applyBorder="1" applyAlignment="1">
      <alignment horizontal="center" vertical="center" wrapText="1"/>
    </xf>
    <xf numFmtId="0" fontId="19" fillId="10" borderId="0" xfId="0" applyFont="1" applyFill="1" applyBorder="1" applyAlignment="1">
      <alignment horizontal="center" wrapText="1"/>
    </xf>
    <xf numFmtId="185" fontId="0" fillId="13" borderId="0" xfId="0" applyNumberFormat="1" applyFill="1" applyAlignment="1">
      <alignment horizontal="center"/>
    </xf>
    <xf numFmtId="0" fontId="0" fillId="0" borderId="0" xfId="0" applyAlignment="1">
      <alignment vertical="center" wrapText="1"/>
    </xf>
    <xf numFmtId="0" fontId="21" fillId="0" borderId="0" xfId="0" applyFont="1" applyAlignment="1">
      <alignment horizontal="center" vertical="center" wrapText="1"/>
    </xf>
    <xf numFmtId="183" fontId="21" fillId="0" borderId="0" xfId="0" applyNumberFormat="1" applyFont="1" applyAlignment="1">
      <alignment vertical="center"/>
    </xf>
    <xf numFmtId="0" fontId="21" fillId="0" borderId="0" xfId="0" applyFont="1" applyAlignment="1">
      <alignment horizontal="center"/>
    </xf>
    <xf numFmtId="183" fontId="21" fillId="0" borderId="0" xfId="0" applyNumberFormat="1" applyFont="1" applyAlignment="1">
      <alignment horizontal="center"/>
    </xf>
    <xf numFmtId="183" fontId="22" fillId="13" borderId="0" xfId="0" applyNumberFormat="1" applyFont="1" applyFill="1" applyAlignment="1">
      <alignment horizontal="center"/>
    </xf>
    <xf numFmtId="183" fontId="0" fillId="0" borderId="0" xfId="0" applyNumberFormat="1" applyAlignment="1">
      <alignment horizontal="center" vertical="center"/>
    </xf>
    <xf numFmtId="0" fontId="19" fillId="10" borderId="17" xfId="0" applyFont="1" applyFill="1" applyBorder="1" applyAlignment="1">
      <alignment horizontal="center" vertical="center"/>
    </xf>
    <xf numFmtId="0" fontId="19" fillId="10" borderId="17" xfId="0" applyFont="1" applyFill="1" applyBorder="1" applyAlignment="1">
      <alignment horizontal="center" vertical="center" wrapText="1"/>
    </xf>
    <xf numFmtId="183" fontId="16" fillId="13" borderId="0" xfId="0" applyNumberFormat="1" applyFont="1" applyFill="1" applyAlignment="1">
      <alignment horizontal="center"/>
    </xf>
    <xf numFmtId="0" fontId="0" fillId="11" borderId="13" xfId="0" applyFont="1" applyFill="1" applyBorder="1" applyAlignment="1">
      <alignment horizontal="left" vertical="center"/>
    </xf>
    <xf numFmtId="0" fontId="0" fillId="11" borderId="13" xfId="0" applyFont="1" applyFill="1" applyBorder="1" applyAlignment="1">
      <alignment horizontal="center" vertical="center"/>
    </xf>
    <xf numFmtId="179" fontId="0" fillId="15" borderId="13" xfId="0" applyNumberFormat="1" applyFont="1" applyFill="1" applyBorder="1" applyAlignment="1">
      <alignment horizontal="center" vertical="center"/>
    </xf>
    <xf numFmtId="0" fontId="0" fillId="14" borderId="20" xfId="0" applyFont="1" applyFill="1" applyBorder="1" applyAlignment="1">
      <alignment horizontal="left" vertical="center"/>
    </xf>
    <xf numFmtId="0" fontId="0" fillId="14" borderId="20" xfId="0" applyFont="1" applyFill="1" applyBorder="1" applyAlignment="1">
      <alignment horizontal="center" vertical="center"/>
    </xf>
    <xf numFmtId="179" fontId="0" fillId="16" borderId="19" xfId="0" applyNumberFormat="1" applyFont="1" applyFill="1" applyBorder="1" applyAlignment="1">
      <alignment horizontal="center" vertical="center"/>
    </xf>
    <xf numFmtId="0" fontId="3" fillId="11" borderId="21" xfId="0" applyFont="1" applyFill="1" applyBorder="1" applyAlignment="1">
      <alignment horizontal="center" vertical="center"/>
    </xf>
    <xf numFmtId="0" fontId="3" fillId="11" borderId="0" xfId="0" applyFont="1" applyFill="1" applyAlignment="1">
      <alignment horizontal="center" vertical="center"/>
    </xf>
    <xf numFmtId="179" fontId="3" fillId="11" borderId="21" xfId="0" applyNumberFormat="1" applyFont="1" applyFill="1" applyBorder="1" applyAlignment="1">
      <alignment horizontal="center" vertical="center"/>
    </xf>
    <xf numFmtId="0" fontId="0" fillId="0" borderId="0" xfId="0" applyAlignment="1">
      <alignment horizontal="justify" wrapText="1"/>
    </xf>
    <xf numFmtId="179" fontId="3" fillId="11" borderId="0" xfId="0" applyNumberFormat="1" applyFont="1" applyFill="1" applyAlignment="1">
      <alignment horizontal="center" vertical="center"/>
    </xf>
    <xf numFmtId="0" fontId="0" fillId="14" borderId="19" xfId="0" applyFont="1" applyFill="1" applyBorder="1" applyAlignment="1">
      <alignment horizontal="left" vertical="center"/>
    </xf>
    <xf numFmtId="184" fontId="0" fillId="13" borderId="0" xfId="0" applyNumberFormat="1" applyFill="1" applyAlignment="1">
      <alignment horizontal="center"/>
    </xf>
    <xf numFmtId="186" fontId="0" fillId="13" borderId="0" xfId="0" applyNumberFormat="1" applyFill="1" applyAlignment="1">
      <alignment horizontal="center" vertical="center"/>
    </xf>
    <xf numFmtId="0" fontId="0" fillId="0" borderId="0" xfId="0" applyAlignment="1">
      <alignment horizontal="center"/>
    </xf>
    <xf numFmtId="0" fontId="0" fillId="0" borderId="0" xfId="0" applyFont="1" applyAlignment="1">
      <alignment horizontal="right"/>
    </xf>
    <xf numFmtId="0" fontId="23" fillId="10" borderId="0" xfId="0" applyFont="1" applyFill="1" applyAlignment="1">
      <alignment horizontal="center" vertical="center"/>
    </xf>
    <xf numFmtId="0" fontId="19" fillId="10" borderId="0" xfId="0" applyFont="1" applyFill="1" applyAlignment="1">
      <alignment horizontal="center" vertical="center"/>
    </xf>
    <xf numFmtId="0" fontId="23" fillId="10" borderId="0" xfId="0" applyFont="1" applyFill="1"/>
    <xf numFmtId="183" fontId="19" fillId="10" borderId="0" xfId="0" applyNumberFormat="1" applyFont="1" applyFill="1" applyAlignment="1">
      <alignment horizontal="center"/>
    </xf>
    <xf numFmtId="184" fontId="0" fillId="13" borderId="0" xfId="0" applyNumberFormat="1" applyFill="1" applyAlignment="1">
      <alignment horizontal="center" vertical="center"/>
    </xf>
    <xf numFmtId="0" fontId="0" fillId="0" borderId="0" xfId="0" applyAlignment="1">
      <alignment vertical="center"/>
    </xf>
    <xf numFmtId="0" fontId="6" fillId="11" borderId="10" xfId="0" applyFont="1" applyFill="1" applyBorder="1" applyAlignment="1">
      <alignment horizontal="left" vertical="center" wrapText="1"/>
    </xf>
    <xf numFmtId="0" fontId="6" fillId="11" borderId="10" xfId="0" applyFont="1" applyFill="1" applyBorder="1" applyAlignment="1">
      <alignment horizontal="left" wrapText="1"/>
    </xf>
    <xf numFmtId="0" fontId="6" fillId="12" borderId="0" xfId="0" applyFont="1" applyFill="1" applyBorder="1" applyAlignment="1">
      <alignment horizontal="left" vertical="center" wrapText="1"/>
    </xf>
    <xf numFmtId="0" fontId="6" fillId="0" borderId="0" xfId="0" applyFont="1" applyBorder="1" applyAlignment="1">
      <alignment horizontal="left" vertical="center" wrapText="1"/>
    </xf>
    <xf numFmtId="181" fontId="0" fillId="13" borderId="0" xfId="0" applyNumberFormat="1" applyFill="1" applyAlignment="1">
      <alignment horizontal="center" vertical="center"/>
    </xf>
    <xf numFmtId="181" fontId="0" fillId="0" borderId="0" xfId="0" applyNumberFormat="1" applyAlignment="1">
      <alignment horizontal="center" vertical="center"/>
    </xf>
    <xf numFmtId="183" fontId="21" fillId="0" borderId="0" xfId="0" applyNumberFormat="1" applyFont="1" applyAlignment="1">
      <alignment vertical="center" wrapText="1"/>
    </xf>
    <xf numFmtId="183" fontId="21" fillId="0" borderId="0" xfId="0" applyNumberFormat="1" applyFont="1" applyAlignment="1">
      <alignment horizontal="center" wrapText="1"/>
    </xf>
    <xf numFmtId="183" fontId="16" fillId="0" borderId="0" xfId="0" applyNumberFormat="1" applyFont="1" applyAlignment="1">
      <alignment horizontal="center"/>
    </xf>
    <xf numFmtId="0" fontId="16" fillId="0" borderId="0" xfId="0" applyFont="1"/>
    <xf numFmtId="184" fontId="0" fillId="13" borderId="0" xfId="0" applyNumberFormat="1" applyFill="1"/>
    <xf numFmtId="0" fontId="23" fillId="10" borderId="0" xfId="0" applyFont="1" applyFill="1" applyAlignment="1">
      <alignment vertical="center"/>
    </xf>
    <xf numFmtId="0" fontId="6" fillId="0" borderId="22" xfId="0" applyFont="1" applyBorder="1" applyAlignment="1">
      <alignment horizontal="center"/>
    </xf>
    <xf numFmtId="180" fontId="0" fillId="13" borderId="0" xfId="9" applyFont="1" applyFill="1" applyBorder="1" applyAlignment="1" applyProtection="1">
      <alignment horizontal="center"/>
    </xf>
    <xf numFmtId="187" fontId="0" fillId="13" borderId="0" xfId="0" applyNumberFormat="1" applyFill="1" applyAlignment="1">
      <alignment horizontal="center"/>
    </xf>
    <xf numFmtId="9" fontId="0" fillId="13" borderId="0" xfId="0" applyNumberFormat="1" applyFill="1" applyAlignment="1">
      <alignment horizontal="center"/>
    </xf>
    <xf numFmtId="0" fontId="0" fillId="0" borderId="0" xfId="0" applyFont="1" applyAlignment="1"/>
    <xf numFmtId="10" fontId="0" fillId="13" borderId="0" xfId="4" applyNumberFormat="1" applyFont="1" applyFill="1" applyBorder="1" applyAlignment="1" applyProtection="1"/>
    <xf numFmtId="10" fontId="0" fillId="0" borderId="0" xfId="4" applyNumberFormat="1" applyFont="1" applyBorder="1" applyAlignment="1" applyProtection="1"/>
    <xf numFmtId="0" fontId="6" fillId="0" borderId="0" xfId="0" applyFont="1" applyBorder="1" applyAlignment="1">
      <alignment vertical="center"/>
    </xf>
    <xf numFmtId="0" fontId="0" fillId="0" borderId="0" xfId="0" applyFont="1" applyAlignment="1">
      <alignment horizontal="left" vertical="center" wrapText="1"/>
    </xf>
    <xf numFmtId="0" fontId="0" fillId="0" borderId="0" xfId="0" applyFont="1" applyAlignment="1">
      <alignment horizontal="center" vertical="center" wrapText="1"/>
    </xf>
    <xf numFmtId="0" fontId="0" fillId="0" borderId="0" xfId="0" applyFont="1" applyAlignment="1">
      <alignment horizontal="left" vertical="center"/>
    </xf>
    <xf numFmtId="183" fontId="0" fillId="0" borderId="0" xfId="0" applyNumberFormat="1" applyFont="1" applyAlignment="1">
      <alignment horizontal="center" vertical="center" wrapText="1"/>
    </xf>
    <xf numFmtId="183" fontId="23" fillId="10" borderId="0" xfId="0" applyNumberFormat="1" applyFont="1" applyFill="1" applyAlignment="1">
      <alignment horizontal="center"/>
    </xf>
    <xf numFmtId="0" fontId="6" fillId="17" borderId="23" xfId="0" applyFont="1" applyFill="1" applyBorder="1" applyAlignment="1">
      <alignment horizontal="center"/>
    </xf>
    <xf numFmtId="0" fontId="0" fillId="17" borderId="0" xfId="0" applyFont="1" applyFill="1" applyBorder="1" applyAlignment="1">
      <alignment horizontal="left" vertical="center" wrapText="1"/>
    </xf>
    <xf numFmtId="0" fontId="0" fillId="17" borderId="0" xfId="0" applyFont="1" applyFill="1" applyBorder="1" applyAlignment="1">
      <alignment horizontal="left" wrapText="1"/>
    </xf>
    <xf numFmtId="0" fontId="6" fillId="17" borderId="0" xfId="0" applyFont="1" applyFill="1" applyBorder="1" applyAlignment="1">
      <alignment horizontal="left" vertical="center" wrapText="1"/>
    </xf>
    <xf numFmtId="0" fontId="7" fillId="17" borderId="0" xfId="0" applyFont="1" applyFill="1" applyBorder="1" applyAlignment="1">
      <alignment horizontal="center"/>
    </xf>
    <xf numFmtId="0" fontId="0" fillId="17" borderId="0" xfId="0" applyFont="1" applyFill="1" applyBorder="1" applyAlignment="1">
      <alignment horizontal="center"/>
    </xf>
  </cellXfs>
  <cellStyles count="49">
    <cellStyle name="Normal" xfId="0" builtinId="0"/>
    <cellStyle name="Comma" xfId="1" builtinId="3"/>
    <cellStyle name="Comma [0]" xfId="2" builtinId="6"/>
    <cellStyle name="40% - Ênfase 4" xfId="3" builtinId="43"/>
    <cellStyle name="Porcentagem" xfId="4" builtinId="5"/>
    <cellStyle name="Célula Vinculada" xfId="5" builtinId="24"/>
    <cellStyle name="Célula de Verificação" xfId="6" builtinId="23"/>
    <cellStyle name="Moeda [0]" xfId="7" builtinId="7"/>
    <cellStyle name="20% - Ênfase 3" xfId="8" builtinId="38"/>
    <cellStyle name="Moeda" xfId="9" builtinId="4"/>
    <cellStyle name="Hyperlink seguido" xfId="10" builtinId="9"/>
    <cellStyle name="Hyperlink" xfId="11" builtinId="8"/>
    <cellStyle name="40% - Ênfase 2" xfId="12" builtinId="35"/>
    <cellStyle name="Observação" xfId="13" builtinId="10"/>
    <cellStyle name="40% - Ênfase 6" xfId="14" builtinId="51"/>
    <cellStyle name="Texto de Aviso" xfId="15" builtinId="11"/>
    <cellStyle name="Título" xfId="16" builtinId="15"/>
    <cellStyle name="Texto Explicativo" xfId="17" builtinId="53"/>
    <cellStyle name="Ênfase 3" xfId="18" builtinId="37"/>
    <cellStyle name="Título 1" xfId="19" builtinId="16"/>
    <cellStyle name="Ênfase 4" xfId="20" builtinId="41"/>
    <cellStyle name="Título 2" xfId="21" builtinId="17"/>
    <cellStyle name="Ênfase 5" xfId="22" builtinId="45"/>
    <cellStyle name="Título 3" xfId="23" builtinId="18"/>
    <cellStyle name="Ênfase 6" xfId="24" builtinId="49"/>
    <cellStyle name="Título 4" xfId="25" builtinId="19"/>
    <cellStyle name="Entrada" xfId="26" builtinId="20"/>
    <cellStyle name="Saída" xfId="27" builtinId="21"/>
    <cellStyle name="Cálculo" xfId="28" builtinId="22"/>
    <cellStyle name="Total" xfId="29" builtinId="25"/>
    <cellStyle name="40% - Ênfase 1" xfId="30" builtinId="31"/>
    <cellStyle name="Bom" xfId="31" builtinId="26"/>
    <cellStyle name="Ruim" xfId="32" builtinId="27"/>
    <cellStyle name="Neutro" xfId="33" builtinId="28"/>
    <cellStyle name="20% - Ênfase 5" xfId="34" builtinId="46"/>
    <cellStyle name="Ênfase 1" xfId="35" builtinId="29"/>
    <cellStyle name="20% - Ênfase 1" xfId="36" builtinId="30"/>
    <cellStyle name="60% - Ênfase 1" xfId="37" builtinId="32"/>
    <cellStyle name="20% - Ênfase 6" xfId="38" builtinId="50"/>
    <cellStyle name="Ênfase 2" xfId="39" builtinId="33"/>
    <cellStyle name="20% - Ênfase 2" xfId="40" builtinId="34"/>
    <cellStyle name="60% - Ênfase 2" xfId="41" builtinId="36"/>
    <cellStyle name="40% - Ênfase 3" xfId="42" builtinId="39"/>
    <cellStyle name="60% - Ênfase 3" xfId="43" builtinId="40"/>
    <cellStyle name="20% - Ênfase 4" xfId="44" builtinId="42"/>
    <cellStyle name="60% - Ênfase 4" xfId="45" builtinId="44"/>
    <cellStyle name="40% - Ênfase 5" xfId="46" builtinId="47"/>
    <cellStyle name="60% - Ênfase 5" xfId="47" builtinId="48"/>
    <cellStyle name="60% - Ênfase 6" xfId="48" builtinId="52"/>
  </cellStyles>
  <dxfs count="202">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horizontal="center"/>
    </dxf>
    <dxf>
      <alignment horizontal="center"/>
    </dxf>
    <dxf>
      <alignment horizontal="center" vertical="cent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A9D18E"/>
      <rgbColor rgb="00808080"/>
      <rgbColor rgb="009999FF"/>
      <rgbColor rgb="00993366"/>
      <rgbColor rgb="00F2F2F2"/>
      <rgbColor rgb="00CCFFFF"/>
      <rgbColor rgb="00660066"/>
      <rgbColor rgb="00FF8080"/>
      <rgbColor rgb="000066CC"/>
      <rgbColor rgb="00C5E0B4"/>
      <rgbColor rgb="00000080"/>
      <rgbColor rgb="00FF00FF"/>
      <rgbColor rgb="00FFFF00"/>
      <rgbColor rgb="0000FFFF"/>
      <rgbColor rgb="00800080"/>
      <rgbColor rgb="00800000"/>
      <rgbColor rgb="00008080"/>
      <rgbColor rgb="000000FF"/>
      <rgbColor rgb="0000CCFF"/>
      <rgbColor rgb="00CCFFFF"/>
      <rgbColor rgb="00E2F0D9"/>
      <rgbColor rgb="00FFFF99"/>
      <rgbColor rgb="0099CCFF"/>
      <rgbColor rgb="00FF99CC"/>
      <rgbColor rgb="00CC99FF"/>
      <rgbColor rgb="00F4B183"/>
      <rgbColor rgb="003366FF"/>
      <rgbColor rgb="0033CCCC"/>
      <rgbColor rgb="0099CC00"/>
      <rgbColor rgb="00FFCC00"/>
      <rgbColor rgb="00FF9900"/>
      <rgbColor rgb="00FF6600"/>
      <rgbColor rgb="00666699"/>
      <rgbColor rgb="0070AD47"/>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haredStrings" Target="sharedStrings.xml"/><Relationship Id="rId11" Type="http://schemas.openxmlformats.org/officeDocument/2006/relationships/styles" Target="styles.xml"/><Relationship Id="rId10"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CITL" displayName="CITL" ref="F15:G20" totalsRowShown="0">
  <autoFilter ref="F15:G20"/>
  <tableColumns count="2">
    <tableColumn id="1" name="Descrição" dataDxfId="0"/>
    <tableColumn id="2" name="Percentual" dataDxfId="1"/>
  </tableColumns>
  <tableStyleInfo showFirstColumn="0" showLastColumn="0" showRowStripes="1" showColumnStripes="0"/>
</table>
</file>

<file path=xl/tables/table10.xml><?xml version="1.0" encoding="utf-8"?>
<table xmlns="http://schemas.openxmlformats.org/spreadsheetml/2006/main" id="16" name="ResumoPosto" displayName="ResumoPosto" ref="A140:D148" totalsRowShown="0">
  <autoFilter ref="A140:D148"/>
  <tableColumns count="4">
    <tableColumn id="1" name="Item" dataDxfId="30"/>
    <tableColumn id="2" name="Mão de obra vinculada à execução contratual" dataDxfId="31"/>
    <tableColumn id="3" name="-" dataDxfId="32"/>
    <tableColumn id="4" name="Valor" dataDxfId="33"/>
  </tableColumns>
  <tableStyleInfo showFirstColumn="0" showLastColumn="0" showRowStripes="1" showColumnStripes="0"/>
</table>
</file>

<file path=xl/tables/table11.xml><?xml version="1.0" encoding="utf-8"?>
<table xmlns="http://schemas.openxmlformats.org/spreadsheetml/2006/main" id="18" name="Submódulo2.1" displayName="Submódulo2.1" ref="A21:D24" totalsRowCount="1">
  <autoFilter ref="A21:D23"/>
  <tableColumns count="4">
    <tableColumn id="1" name="2.1" dataDxfId="34"/>
    <tableColumn id="2" name="13º (décimo terceiro) Salário, Férias e Adicional de Férias" dataDxfId="35"/>
    <tableColumn id="3" name="Comentário" dataDxfId="36"/>
    <tableColumn id="4" name="Valor" dataDxfId="37"/>
  </tableColumns>
  <tableStyleInfo showFirstColumn="0" showLastColumn="0" showRowStripes="1" showColumnStripes="0"/>
</table>
</file>

<file path=xl/tables/table12.xml><?xml version="1.0" encoding="utf-8"?>
<table xmlns="http://schemas.openxmlformats.org/spreadsheetml/2006/main" id="20" name="Submódulo2.2" displayName="Submódulo2.2" ref="A32:D41" totalsRowCount="1">
  <autoFilter ref="A32:D40"/>
  <tableColumns count="4">
    <tableColumn id="1" name="2.2" dataDxfId="38"/>
    <tableColumn id="2" name="GPS, FGTS e outras contribuições" dataDxfId="39"/>
    <tableColumn id="3" name="Percentual" dataDxfId="40"/>
    <tableColumn id="4" name="Valor " dataDxfId="41"/>
  </tableColumns>
  <tableStyleInfo showFirstColumn="0" showLastColumn="0" showRowStripes="1" showColumnStripes="0"/>
</table>
</file>

<file path=xl/tables/table13.xml><?xml version="1.0" encoding="utf-8"?>
<table xmlns="http://schemas.openxmlformats.org/spreadsheetml/2006/main" id="22" name="Submódulo2.3" displayName="Submódulo2.3" ref="A48:D53" totalsRowCount="1">
  <autoFilter ref="A48:D52"/>
  <tableColumns count="4">
    <tableColumn id="1" name="2.3" dataDxfId="42"/>
    <tableColumn id="2" name="Benefícios Mensais e Diários" dataDxfId="43"/>
    <tableColumn id="3" name="Comentário" dataDxfId="44"/>
    <tableColumn id="4" name="Valor" dataDxfId="45"/>
  </tableColumns>
  <tableStyleInfo showFirstColumn="0" showLastColumn="0" showRowStripes="1" showColumnStripes="0"/>
</table>
</file>

<file path=xl/tables/table14.xml><?xml version="1.0" encoding="utf-8"?>
<table xmlns="http://schemas.openxmlformats.org/spreadsheetml/2006/main" id="24" name="Submódulo4.1" displayName="Submódulo4.1" ref="A88:D95" totalsRowCount="1">
  <autoFilter ref="A88:D94"/>
  <tableColumns count="4">
    <tableColumn id="1" name="4.1" dataDxfId="46"/>
    <tableColumn id="2" name="Substituto nas Ausências Legais" dataDxfId="47"/>
    <tableColumn id="3" name="Dias de ausência" dataDxfId="48"/>
    <tableColumn id="4" name="Valor" dataDxfId="49"/>
  </tableColumns>
  <tableStyleInfo showFirstColumn="0" showLastColumn="0" showRowStripes="1" showColumnStripes="0"/>
</table>
</file>

<file path=xl/tables/table15.xml><?xml version="1.0" encoding="utf-8"?>
<table xmlns="http://schemas.openxmlformats.org/spreadsheetml/2006/main" id="26" name="Submódulo4.2" displayName="Submódulo4.2" ref="A103:D105" totalsRowCount="1">
  <autoFilter ref="A103:D104"/>
  <tableColumns count="4">
    <tableColumn id="1" name="4.2" dataDxfId="50"/>
    <tableColumn id="2" name="Substituto na Intrajornada " dataDxfId="51"/>
    <tableColumn id="3" name="Comentário" dataDxfId="52"/>
    <tableColumn id="4" name="Valor" dataDxfId="53"/>
  </tableColumns>
  <tableStyleInfo showFirstColumn="0" showLastColumn="0" showRowStripes="1" showColumnStripes="0"/>
</table>
</file>

<file path=xl/tables/table16.xml><?xml version="1.0" encoding="utf-8"?>
<table xmlns="http://schemas.openxmlformats.org/spreadsheetml/2006/main" id="28" name="Table4" displayName="Table4" ref="A2:D7" totalsRowShown="0">
  <tableColumns count="4">
    <tableColumn id="1" name="Item" dataDxfId="54"/>
    <tableColumn id="2" name="Descrição" dataDxfId="55"/>
    <tableColumn id="3" name="Comentário" dataDxfId="56"/>
    <tableColumn id="4" name="Valor" dataDxfId="57"/>
  </tableColumns>
  <tableStyleInfo showFirstColumn="0" showLastColumn="0" showRowStripes="1" showColumnStripes="0"/>
</table>
</file>

<file path=xl/tables/table17.xml><?xml version="1.0" encoding="utf-8"?>
<table xmlns="http://schemas.openxmlformats.org/spreadsheetml/2006/main" id="32" name="Table8" displayName="Table8" ref="A27:D29" totalsRowShown="0">
  <autoFilter ref="A27:D29"/>
  <tableColumns count="4">
    <tableColumn id="1" name="Item" dataDxfId="58"/>
    <tableColumn id="2" name="Rubrica" dataDxfId="59"/>
    <tableColumn id="3" name="Base de Cálculo" dataDxfId="60"/>
    <tableColumn id="4" name="Memória de Cálculo" dataDxfId="61"/>
  </tableColumns>
  <tableStyleInfo showFirstColumn="0" showLastColumn="0" showRowStripes="1" showColumnStripes="0"/>
</table>
</file>

<file path=xl/tables/table18.xml><?xml version="1.0" encoding="utf-8"?>
<table xmlns="http://schemas.openxmlformats.org/spreadsheetml/2006/main" id="33" name="Table839" displayName="Table839" ref="A44:D45" totalsRowShown="0">
  <autoFilter ref="A44:D45"/>
  <tableColumns count="4">
    <tableColumn id="1" name="Item" dataDxfId="62"/>
    <tableColumn id="2" name="Rubrica" dataDxfId="63"/>
    <tableColumn id="3" name="Base de Cálculo" dataDxfId="64"/>
    <tableColumn id="4" name="Memória de Cálculo" dataDxfId="65"/>
  </tableColumns>
  <tableStyleInfo showFirstColumn="0" showLastColumn="0" showRowStripes="1" showColumnStripes="0"/>
</table>
</file>

<file path=xl/tables/table19.xml><?xml version="1.0" encoding="utf-8"?>
<table xmlns="http://schemas.openxmlformats.org/spreadsheetml/2006/main" id="34" name="Table842" displayName="Table842" ref="A56:D58" totalsRowShown="0">
  <autoFilter ref="A56:D58"/>
  <tableColumns count="4">
    <tableColumn id="1" name="Item" dataDxfId="66"/>
    <tableColumn id="2" name="Rubrica" dataDxfId="67"/>
    <tableColumn id="3" name="Base de Cálculo" dataDxfId="68"/>
    <tableColumn id="4" name="Memória de Cálculo" dataDxfId="69"/>
  </tableColumns>
  <tableStyleInfo showFirstColumn="0" showLastColumn="0" showRowStripes="1" showColumnStripes="0"/>
</table>
</file>

<file path=xl/tables/table2.xml><?xml version="1.0" encoding="utf-8"?>
<table xmlns="http://schemas.openxmlformats.org/spreadsheetml/2006/main" id="2" name="DadosDesligamento" displayName="DadosDesligamento" ref="F9:G12" totalsRowShown="0">
  <autoFilter ref="F9:G12"/>
  <tableColumns count="2">
    <tableColumn id="1" name="Tipos" dataDxfId="2"/>
    <tableColumn id="2" name="Percentual" dataDxfId="3"/>
  </tableColumns>
  <tableStyleInfo showFirstColumn="0" showLastColumn="0" showRowStripes="1" showColumnStripes="0"/>
</table>
</file>

<file path=xl/tables/table20.xml><?xml version="1.0" encoding="utf-8"?>
<table xmlns="http://schemas.openxmlformats.org/spreadsheetml/2006/main" id="35" name="Table84237" displayName="Table84237" ref="A78:D84" totalsRowShown="0">
  <autoFilter ref="A78:D84"/>
  <tableColumns count="4">
    <tableColumn id="1" name="Item" dataDxfId="70"/>
    <tableColumn id="2" name="Rubrica" dataDxfId="71"/>
    <tableColumn id="3" name="Base de Cálculo" dataDxfId="72"/>
    <tableColumn id="4" name="Memória de Cálculo" dataDxfId="73"/>
  </tableColumns>
  <tableStyleInfo showFirstColumn="0" showLastColumn="0" showRowStripes="1" showColumnStripes="0"/>
</table>
</file>

<file path=xl/tables/table21.xml><?xml version="1.0" encoding="utf-8"?>
<table xmlns="http://schemas.openxmlformats.org/spreadsheetml/2006/main" id="36" name="Table84238" displayName="Table84238" ref="A98:D100" totalsRowShown="0">
  <autoFilter ref="A98:D100"/>
  <tableColumns count="4">
    <tableColumn id="1" name="Item" dataDxfId="74"/>
    <tableColumn id="2" name="Rubrica" dataDxfId="75"/>
    <tableColumn id="3" name="Base de Cálculo" dataDxfId="76"/>
    <tableColumn id="4" name="Memória de Cálculo" dataDxfId="77"/>
  </tableColumns>
  <tableStyleInfo showFirstColumn="0" showLastColumn="0" showRowStripes="1" showColumnStripes="0"/>
</table>
</file>

<file path=xl/tables/table22.xml><?xml version="1.0" encoding="utf-8"?>
<table xmlns="http://schemas.openxmlformats.org/spreadsheetml/2006/main" id="37" name="Table8423851" displayName="Table8423851" ref="A122:D126" totalsRowShown="0">
  <autoFilter ref="A122:D126"/>
  <tableColumns count="4">
    <tableColumn id="1" name="Item" dataDxfId="78"/>
    <tableColumn id="2" name="Rubrica" dataDxfId="79"/>
    <tableColumn id="3" name="Base de Cálculo" dataDxfId="80"/>
    <tableColumn id="4" name="Memória de Cálculo" dataDxfId="81"/>
  </tableColumns>
  <tableStyleInfo showFirstColumn="0" showLastColumn="0" showRowStripes="1" showColumnStripes="0"/>
</table>
</file>

<file path=xl/tables/table23.xml><?xml version="1.0" encoding="utf-8"?>
<table xmlns="http://schemas.openxmlformats.org/spreadsheetml/2006/main" id="38" name="Módulo153_39" displayName="Módulo153_39" ref="A24:D31" totalsRowCount="1">
  <autoFilter ref="A24:D30"/>
  <tableColumns count="4">
    <tableColumn id="1" name="1" totalsRowLabel="Total" dataDxfId="82"/>
    <tableColumn id="2" name="Composição da Remuneração" dataDxfId="83"/>
    <tableColumn id="3" name="Comentário" dataDxfId="84"/>
    <tableColumn id="4" name="Valor" totalsRowFunction="custom">
      <totalsRowFormula>TRUNC(SUM(D25:D30),2)</totalsRowFormula>
    </tableColumn>
  </tableColumns>
  <tableStyleInfo showFirstColumn="0" showLastColumn="0" showRowStripes="1" showColumnStripes="0"/>
</table>
</file>

<file path=xl/tables/table24.xml><?xml version="1.0" encoding="utf-8"?>
<table xmlns="http://schemas.openxmlformats.org/spreadsheetml/2006/main" id="39" name="Submódulo2.356_40" displayName="Submódulo2.356_40" ref="A58:D66" totalsRowCount="1">
  <autoFilter ref="A58:D65"/>
  <tableColumns count="4">
    <tableColumn id="1" name="2.3" totalsRowLabel="Total" dataDxfId="85"/>
    <tableColumn id="2" name="Benefícios Mensais e Diários" dataDxfId="86"/>
    <tableColumn id="3" name="Comentário" dataDxfId="87"/>
    <tableColumn id="4" name="Valor" totalsRowFunction="custom">
      <totalsRowFormula>TRUNC((SUM(D59:D65)),2)</totalsRowFormula>
    </tableColumn>
  </tableColumns>
  <tableStyleInfo showFirstColumn="0" showLastColumn="0" showRowStripes="1" showColumnStripes="0"/>
</table>
</file>

<file path=xl/tables/table25.xml><?xml version="1.0" encoding="utf-8"?>
<table xmlns="http://schemas.openxmlformats.org/spreadsheetml/2006/main" id="40" name="Submódulo4.159_41" displayName="Submódulo4.159_41" ref="A92:D99" totalsRowCount="1">
  <autoFilter ref="A92:D98"/>
  <tableColumns count="4">
    <tableColumn id="1" name="4.1" totalsRowLabel="Total" dataDxfId="88"/>
    <tableColumn id="2" name="Substituto nas Ausências Legais" dataDxfId="89"/>
    <tableColumn id="3" name="Percentual" totalsRowFunction="sum" dataDxfId="90"/>
    <tableColumn id="4" name="Valor" totalsRowFunction="custom">
      <totalsRowFormula>TRUNC((SUM(D93:D98)),2)</totalsRowFormula>
    </tableColumn>
  </tableColumns>
  <tableStyleInfo showFirstColumn="0" showLastColumn="0" showRowStripes="1" showColumnStripes="0"/>
</table>
</file>

<file path=xl/tables/table26.xml><?xml version="1.0" encoding="utf-8"?>
<table xmlns="http://schemas.openxmlformats.org/spreadsheetml/2006/main" id="41" name="Submódulo4.260_42" displayName="Submódulo4.260_42" ref="A102:D104" totalsRowCount="1">
  <autoFilter ref="A102:D103"/>
  <tableColumns count="4">
    <tableColumn id="1" name="4.2" totalsRowLabel="Total" dataDxfId="91"/>
    <tableColumn id="2" name="Substituto na Intrajornada " dataDxfId="92"/>
    <tableColumn id="3" name="Comentário" dataDxfId="93"/>
    <tableColumn id="4" name="Valor" totalsRowFunction="custom">
      <totalsRowFormula>D103</totalsRowFormula>
    </tableColumn>
  </tableColumns>
  <tableStyleInfo showFirstColumn="0" showLastColumn="0" showRowStripes="1" showColumnStripes="0"/>
</table>
</file>

<file path=xl/tables/table27.xml><?xml version="1.0" encoding="utf-8"?>
<table xmlns="http://schemas.openxmlformats.org/spreadsheetml/2006/main" id="42" name="Table452_43" displayName="Table452_43" ref="A16:D21" totalsRowShown="0">
  <tableColumns count="4">
    <tableColumn id="1" name="Item" dataDxfId="94"/>
    <tableColumn id="2" name="Descrição" dataDxfId="95"/>
    <tableColumn id="3" name="Comentário" dataDxfId="96"/>
    <tableColumn id="4" name="Valor" dataDxfId="97"/>
  </tableColumns>
  <tableStyleInfo showFirstColumn="0" showLastColumn="0" showRowStripes="1" showColumnStripes="0"/>
</table>
</file>

<file path=xl/tables/table28.xml><?xml version="1.0" encoding="utf-8"?>
<table xmlns="http://schemas.openxmlformats.org/spreadsheetml/2006/main" id="43" name="Módulo358_44" displayName="Módulo358_44" ref="A76:D83" totalsRowCount="1">
  <autoFilter ref="A76:D82"/>
  <tableColumns count="4">
    <tableColumn id="1" name="3" totalsRowLabel="Total" dataDxfId="98"/>
    <tableColumn id="2" name="Provisão para Rescisão" dataDxfId="99"/>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29.xml><?xml version="1.0" encoding="utf-8"?>
<table xmlns="http://schemas.openxmlformats.org/spreadsheetml/2006/main" id="44" name="Módulo562_45" displayName="Módulo562_45" ref="A113:D119" totalsRowCount="1">
  <autoFilter ref="A113:D118"/>
  <tableColumns count="4">
    <tableColumn id="1" name="5" totalsRowLabel="Total" dataDxfId="100"/>
    <tableColumn id="2" name="Insumos Diversos" dataDxfId="101"/>
    <tableColumn id="3" name="Comentário" dataDxfId="102"/>
    <tableColumn id="4" name="Valor" totalsRowFunction="custom">
      <totalsRowFormula>TRUNC(SUM(D114:D118),2)</totalsRowFormula>
    </tableColumn>
  </tableColumns>
  <tableStyleInfo showFirstColumn="0" showLastColumn="0" showRowStripes="1" showColumnStripes="0"/>
</table>
</file>

<file path=xl/tables/table3.xml><?xml version="1.0" encoding="utf-8"?>
<table xmlns="http://schemas.openxmlformats.org/spreadsheetml/2006/main" id="3" name="DadosGerais" displayName="DadosGerais" ref="F2:G6" totalsRowShown="0">
  <autoFilter ref="F2:G6"/>
  <tableColumns count="2">
    <tableColumn id="1" name="Descrição" dataDxfId="4"/>
    <tableColumn id="2" name="Valor" dataDxfId="5"/>
  </tableColumns>
  <tableStyleInfo showFirstColumn="0" showLastColumn="0" showRowStripes="1" showColumnStripes="0"/>
</table>
</file>

<file path=xl/tables/table30.xml><?xml version="1.0" encoding="utf-8"?>
<table xmlns="http://schemas.openxmlformats.org/spreadsheetml/2006/main" id="45" name="Módulo663_46" displayName="Módulo663_46" ref="A129:D136" totalsRowCount="1">
  <tableColumns count="4">
    <tableColumn id="1" name="6" totalsRowLabel="Total" dataDxfId="103"/>
    <tableColumn id="2" name="Custos Indiretos, Tributos e Lucro" dataDxfId="104"/>
    <tableColumn id="3" name="Percentual" dataDxfId="105"/>
    <tableColumn id="4" name="Valor" totalsRowFunction="custom">
      <totalsRowFormula>TRUNC(SUM(D130:D132),2)</totalsRowFormula>
    </tableColumn>
  </tableColumns>
  <tableStyleInfo showFirstColumn="0" showLastColumn="0" showRowStripes="1" showColumnStripes="0"/>
</table>
</file>

<file path=xl/tables/table31.xml><?xml version="1.0" encoding="utf-8"?>
<table xmlns="http://schemas.openxmlformats.org/spreadsheetml/2006/main" id="46" name="ResumoMódulo257_47" displayName="ResumoMódulo257_47" ref="A69:D73" totalsRowCount="1">
  <autoFilter ref="A69:D72"/>
  <tableColumns count="4">
    <tableColumn id="1" name="2" totalsRowLabel="Total" dataDxfId="106"/>
    <tableColumn id="2" name="Encargos e Benefícios Anuais, Mensais e Diários" dataDxfId="107"/>
    <tableColumn id="3" name="Comentário" dataDxfId="108"/>
    <tableColumn id="4" name="Valor" totalsRowFunction="custom">
      <totalsRowFormula>TRUNC((SUM(D70:D72)),2)</totalsRowFormula>
    </tableColumn>
  </tableColumns>
  <tableStyleInfo showFirstColumn="0" showLastColumn="0" showRowStripes="1" showColumnStripes="0"/>
</table>
</file>

<file path=xl/tables/table32.xml><?xml version="1.0" encoding="utf-8"?>
<table xmlns="http://schemas.openxmlformats.org/spreadsheetml/2006/main" id="47" name="Submódulo2.154_48" displayName="Submódulo2.154_48" ref="A36:D39" totalsRowCount="1">
  <autoFilter ref="A36:D38"/>
  <tableColumns count="4">
    <tableColumn id="1" name="2.1" totalsRowLabel="Total" dataDxfId="109"/>
    <tableColumn id="2" name="13º (décimo terceiro) Salário, Férias e Adicional de Férias" dataDxfId="110"/>
    <tableColumn id="3" name="Percentual" dataDxfId="111"/>
    <tableColumn id="4" name="Valor" totalsRowFunction="custom">
      <totalsRowFormula>TRUNC((SUM(D37:D38)),2)</totalsRowFormula>
    </tableColumn>
  </tableColumns>
  <tableStyleInfo showFirstColumn="0" showLastColumn="0" showRowStripes="1" showColumnStripes="0"/>
</table>
</file>

<file path=xl/tables/table33.xml><?xml version="1.0" encoding="utf-8"?>
<table xmlns="http://schemas.openxmlformats.org/spreadsheetml/2006/main" id="48" name="ResumoMódulo461_49" displayName="ResumoMódulo461_49" ref="A107:D110" totalsRowCount="1">
  <autoFilter ref="A107:D109"/>
  <tableColumns count="4">
    <tableColumn id="1" name="4" totalsRowLabel="Total" dataDxfId="112"/>
    <tableColumn id="2" name="Custo de Reposição do Profissional Ausente" dataDxfId="113"/>
    <tableColumn id="3" name="Comentário" totalsRowLabel="*Nota: Se o titular USUFRUIR do descanso intrajornada, o total é o somatório dos subitens 4.1 e 4.2" dataDxfId="114"/>
    <tableColumn id="4" name="Valor" totalsRowFunction="custom">
      <totalsRowFormula>TRUNC((SUM(D108:D109)),2)</totalsRowFormula>
    </tableColumn>
  </tableColumns>
  <tableStyleInfo showFirstColumn="0" showLastColumn="0" showRowStripes="1" showColumnStripes="0"/>
</table>
</file>

<file path=xl/tables/table34.xml><?xml version="1.0" encoding="utf-8"?>
<table xmlns="http://schemas.openxmlformats.org/spreadsheetml/2006/main" id="49" name="Submódulo2.255_50" displayName="Submódulo2.255_50" ref="A46:D55" totalsRowCount="1">
  <autoFilter ref="A46:D54"/>
  <tableColumns count="4">
    <tableColumn id="1" name="2.2" totalsRowLabel="Total" dataDxfId="115"/>
    <tableColumn id="2" name="GPS, FGTS e outras contribuições" dataDxfId="116"/>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35.xml><?xml version="1.0" encoding="utf-8"?>
<table xmlns="http://schemas.openxmlformats.org/spreadsheetml/2006/main" id="50" name="ResumoPosto64_51" displayName="ResumoPosto64_51" ref="A140:D148" totalsRowShown="0">
  <autoFilter ref="A140:D148"/>
  <tableColumns count="4">
    <tableColumn id="1" name="Item" dataDxfId="117"/>
    <tableColumn id="2" name="Mão de obra vinculada à execução contratual" dataDxfId="118"/>
    <tableColumn id="3" name="-" dataDxfId="119"/>
    <tableColumn id="4" name="Valor" dataDxfId="120"/>
  </tableColumns>
  <tableStyleInfo showFirstColumn="0" showLastColumn="0" showRowStripes="1" showColumnStripes="0"/>
</table>
</file>

<file path=xl/tables/table36.xml><?xml version="1.0" encoding="utf-8"?>
<table xmlns="http://schemas.openxmlformats.org/spreadsheetml/2006/main" id="77" name="Módulo153_78" displayName="Módulo153_78" ref="A24:D31" totalsRowCount="1">
  <autoFilter ref="A24:D30"/>
  <tableColumns count="4">
    <tableColumn id="1" name="1" totalsRowLabel="Total" dataDxfId="121"/>
    <tableColumn id="2" name="Composição da Remuneração" dataDxfId="122"/>
    <tableColumn id="3" name="Comentário" dataDxfId="123"/>
    <tableColumn id="4" name="Valor" totalsRowFunction="custom">
      <totalsRowFormula>TRUNC(SUM(D25:D30),2)</totalsRowFormula>
    </tableColumn>
  </tableColumns>
  <tableStyleInfo showFirstColumn="0" showLastColumn="0" showRowStripes="1" showColumnStripes="0"/>
</table>
</file>

<file path=xl/tables/table37.xml><?xml version="1.0" encoding="utf-8"?>
<table xmlns="http://schemas.openxmlformats.org/spreadsheetml/2006/main" id="78" name="Submódulo2.356_79" displayName="Submódulo2.356_79" ref="A58:D66" totalsRowCount="1">
  <autoFilter ref="A58:D65"/>
  <tableColumns count="4">
    <tableColumn id="1" name="2.3" totalsRowLabel="Total" dataDxfId="124"/>
    <tableColumn id="2" name="Benefícios Mensais e Diários" dataDxfId="125"/>
    <tableColumn id="3" name="Comentário" dataDxfId="126"/>
    <tableColumn id="4" name="Valor" totalsRowFunction="custom">
      <totalsRowFormula>TRUNC((SUM(D59:D65)),2)</totalsRowFormula>
    </tableColumn>
  </tableColumns>
  <tableStyleInfo showFirstColumn="0" showLastColumn="0" showRowStripes="1" showColumnStripes="0"/>
</table>
</file>

<file path=xl/tables/table38.xml><?xml version="1.0" encoding="utf-8"?>
<table xmlns="http://schemas.openxmlformats.org/spreadsheetml/2006/main" id="79" name="Submódulo4.159_80" displayName="Submódulo4.159_80" ref="A92:D99" totalsRowCount="1">
  <autoFilter ref="A92:D98"/>
  <tableColumns count="4">
    <tableColumn id="1" name="4.1" totalsRowLabel="Total" dataDxfId="127"/>
    <tableColumn id="2" name="Substituto nas Ausências Legais" dataDxfId="128"/>
    <tableColumn id="3" name="Percentual" totalsRowFunction="sum" dataDxfId="129"/>
    <tableColumn id="4" name="Valor" totalsRowFunction="custom">
      <totalsRowFormula>TRUNC((SUM(D93:D98)),2)</totalsRowFormula>
    </tableColumn>
  </tableColumns>
  <tableStyleInfo showFirstColumn="0" showLastColumn="0" showRowStripes="1" showColumnStripes="0"/>
</table>
</file>

<file path=xl/tables/table39.xml><?xml version="1.0" encoding="utf-8"?>
<table xmlns="http://schemas.openxmlformats.org/spreadsheetml/2006/main" id="80" name="Submódulo4.260_81" displayName="Submódulo4.260_81" ref="A102:D104" totalsRowCount="1">
  <autoFilter ref="A102:D103"/>
  <tableColumns count="4">
    <tableColumn id="1" name="4.2" totalsRowLabel="Total" dataDxfId="130"/>
    <tableColumn id="2" name="Substituto na Intrajornada " dataDxfId="131"/>
    <tableColumn id="3" name="Comentário" dataDxfId="132"/>
    <tableColumn id="4" name="Valor" totalsRowFunction="custom">
      <totalsRowFormula>D103</totalsRowFormula>
    </tableColumn>
  </tableColumns>
  <tableStyleInfo showFirstColumn="0" showLastColumn="0" showRowStripes="1" showColumnStripes="0"/>
</table>
</file>

<file path=xl/tables/table4.xml><?xml version="1.0" encoding="utf-8"?>
<table xmlns="http://schemas.openxmlformats.org/spreadsheetml/2006/main" id="4" name="Módulo1" displayName="Módulo1" ref="A10:D17" totalsRowCount="1">
  <autoFilter ref="A10:D16"/>
  <tableColumns count="4">
    <tableColumn id="1" name="1" dataDxfId="6"/>
    <tableColumn id="2" name="Composição da Remuneração" dataDxfId="7"/>
    <tableColumn id="3" name="Comentário" dataDxfId="8"/>
    <tableColumn id="4" name="Valor" dataDxfId="9"/>
  </tableColumns>
  <tableStyleInfo showFirstColumn="0" showLastColumn="0" showRowStripes="1" showColumnStripes="0"/>
</table>
</file>

<file path=xl/tables/table40.xml><?xml version="1.0" encoding="utf-8"?>
<table xmlns="http://schemas.openxmlformats.org/spreadsheetml/2006/main" id="81" name="Table452_82" displayName="Table452_82" ref="A16:D21" totalsRowShown="0">
  <tableColumns count="4">
    <tableColumn id="1" name="Item" dataDxfId="133"/>
    <tableColumn id="2" name="Descrição" dataDxfId="134"/>
    <tableColumn id="3" name="Comentário" dataDxfId="135"/>
    <tableColumn id="4" name="Valor" dataDxfId="136"/>
  </tableColumns>
  <tableStyleInfo showFirstColumn="0" showLastColumn="0" showRowStripes="1" showColumnStripes="0"/>
</table>
</file>

<file path=xl/tables/table41.xml><?xml version="1.0" encoding="utf-8"?>
<table xmlns="http://schemas.openxmlformats.org/spreadsheetml/2006/main" id="82" name="Módulo358_83" displayName="Módulo358_83" ref="A76:D83" totalsRowCount="1">
  <autoFilter ref="A76:D82"/>
  <tableColumns count="4">
    <tableColumn id="1" name="3" totalsRowLabel="Total" dataDxfId="137"/>
    <tableColumn id="2" name="Provisão para Rescisão" dataDxfId="138"/>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42.xml><?xml version="1.0" encoding="utf-8"?>
<table xmlns="http://schemas.openxmlformats.org/spreadsheetml/2006/main" id="83" name="Módulo562_84" displayName="Módulo562_84" ref="A113:D119" totalsRowCount="1">
  <autoFilter ref="A113:D118"/>
  <tableColumns count="4">
    <tableColumn id="1" name="5" totalsRowLabel="Total" dataDxfId="139"/>
    <tableColumn id="2" name="Insumos Diversos" dataDxfId="140"/>
    <tableColumn id="3" name="Comentário" dataDxfId="141"/>
    <tableColumn id="4" name="Valor" totalsRowFunction="custom">
      <totalsRowFormula>TRUNC(SUM(D114:D118),2)</totalsRowFormula>
    </tableColumn>
  </tableColumns>
  <tableStyleInfo showFirstColumn="0" showLastColumn="0" showRowStripes="1" showColumnStripes="0"/>
</table>
</file>

<file path=xl/tables/table43.xml><?xml version="1.0" encoding="utf-8"?>
<table xmlns="http://schemas.openxmlformats.org/spreadsheetml/2006/main" id="84" name="Módulo663_85" displayName="Módulo663_85" ref="A129:D136" totalsRowCount="1">
  <tableColumns count="4">
    <tableColumn id="1" name="6" totalsRowLabel="Total" dataDxfId="142"/>
    <tableColumn id="2" name="Custos Indiretos, Tributos e Lucro" dataDxfId="143"/>
    <tableColumn id="3" name="Percentual" dataDxfId="144"/>
    <tableColumn id="4" name="Valor" totalsRowFunction="custom">
      <totalsRowFormula>TRUNC(SUM(D130:D132),2)</totalsRowFormula>
    </tableColumn>
  </tableColumns>
  <tableStyleInfo showFirstColumn="0" showLastColumn="0" showRowStripes="1" showColumnStripes="0"/>
</table>
</file>

<file path=xl/tables/table44.xml><?xml version="1.0" encoding="utf-8"?>
<table xmlns="http://schemas.openxmlformats.org/spreadsheetml/2006/main" id="85" name="ResumoMódulo257_86" displayName="ResumoMódulo257_86" ref="A69:D73" totalsRowCount="1">
  <autoFilter ref="A69:D72"/>
  <tableColumns count="4">
    <tableColumn id="1" name="2" totalsRowLabel="Total" dataDxfId="145"/>
    <tableColumn id="2" name="Encargos e Benefícios Anuais, Mensais e Diários" dataDxfId="146"/>
    <tableColumn id="3" name="Comentário" dataDxfId="147"/>
    <tableColumn id="4" name="Valor" totalsRowFunction="custom">
      <totalsRowFormula>TRUNC(SUM(D70:D72),2)</totalsRowFormula>
    </tableColumn>
  </tableColumns>
  <tableStyleInfo showFirstColumn="0" showLastColumn="0" showRowStripes="1" showColumnStripes="0"/>
</table>
</file>

<file path=xl/tables/table45.xml><?xml version="1.0" encoding="utf-8"?>
<table xmlns="http://schemas.openxmlformats.org/spreadsheetml/2006/main" id="86" name="Submódulo2.154_87" displayName="Submódulo2.154_87" ref="A36:D39" totalsRowCount="1">
  <autoFilter ref="A36:D38"/>
  <tableColumns count="4">
    <tableColumn id="1" name="2.1" totalsRowLabel="Total" dataDxfId="148"/>
    <tableColumn id="2" name="13º (décimo terceiro) Salário, Férias e Adicional de Férias" dataDxfId="149"/>
    <tableColumn id="3" name="Percentual" dataDxfId="150"/>
    <tableColumn id="4" name="Valor" totalsRowFunction="custom">
      <totalsRowFormula>TRUNC((SUM(D37:D38)),2)</totalsRowFormula>
    </tableColumn>
  </tableColumns>
  <tableStyleInfo showFirstColumn="0" showLastColumn="0" showRowStripes="1" showColumnStripes="0"/>
</table>
</file>

<file path=xl/tables/table46.xml><?xml version="1.0" encoding="utf-8"?>
<table xmlns="http://schemas.openxmlformats.org/spreadsheetml/2006/main" id="87" name="ResumoMódulo461_88" displayName="ResumoMódulo461_88" ref="A107:D110" totalsRowCount="1">
  <autoFilter ref="A107:D109"/>
  <tableColumns count="4">
    <tableColumn id="1" name="4" totalsRowLabel="Total" dataDxfId="151"/>
    <tableColumn id="2" name="Custo de Reposição do Profissional Ausente" dataDxfId="152"/>
    <tableColumn id="3" name="Comentário" totalsRowLabel="*Nota: Se o titular USUFRUIR do descanso intrajornada, o total é o somatório dos subitens 4.1 e 4.2" dataDxfId="153"/>
    <tableColumn id="4" name="Valor" totalsRowFunction="custom">
      <totalsRowFormula>TRUNC((SUM(D108:D109)),2)</totalsRowFormula>
    </tableColumn>
  </tableColumns>
  <tableStyleInfo showFirstColumn="0" showLastColumn="0" showRowStripes="1" showColumnStripes="0"/>
</table>
</file>

<file path=xl/tables/table47.xml><?xml version="1.0" encoding="utf-8"?>
<table xmlns="http://schemas.openxmlformats.org/spreadsheetml/2006/main" id="88" name="Submódulo2.255_89" displayName="Submódulo2.255_89" ref="A46:D55" totalsRowCount="1">
  <autoFilter ref="A46:D54"/>
  <tableColumns count="4">
    <tableColumn id="1" name="2.2" totalsRowLabel="Total" dataDxfId="154"/>
    <tableColumn id="2" name="GPS, FGTS e outras contribuições" dataDxfId="155"/>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48.xml><?xml version="1.0" encoding="utf-8"?>
<table xmlns="http://schemas.openxmlformats.org/spreadsheetml/2006/main" id="89" name="ResumoPosto64_90" displayName="ResumoPosto64_90" ref="A140:D148" totalsRowShown="0">
  <autoFilter ref="A140:D148"/>
  <tableColumns count="4">
    <tableColumn id="1" name="Item" dataDxfId="156"/>
    <tableColumn id="2" name="Mão de obra vinculada à execução contratual" dataDxfId="157"/>
    <tableColumn id="3" name="-" dataDxfId="158"/>
    <tableColumn id="4" name="Valor" dataDxfId="159"/>
  </tableColumns>
  <tableStyleInfo showFirstColumn="0" showLastColumn="0" showRowStripes="1" showColumnStripes="0"/>
</table>
</file>

<file path=xl/tables/table49.xml><?xml version="1.0" encoding="utf-8"?>
<table xmlns="http://schemas.openxmlformats.org/spreadsheetml/2006/main" id="116" name="Módulo663" displayName="Módulo663" ref="A129:D136" totalsRowCount="1">
  <tableColumns count="4">
    <tableColumn id="1" name="6" totalsRowLabel="Total" dataDxfId="160"/>
    <tableColumn id="2" name="Custos Indiretos, Tributos e Lucro" dataDxfId="161"/>
    <tableColumn id="3" name="Percentual" dataDxfId="162"/>
    <tableColumn id="4" name="Valor" totalsRowFunction="custom">
      <totalsRowFormula>TRUNC(SUM(D130:D132),2)</totalsRowFormula>
    </tableColumn>
  </tableColumns>
  <tableStyleInfo showFirstColumn="0" showLastColumn="0" showRowStripes="1" showColumnStripes="0"/>
</table>
</file>

<file path=xl/tables/table5.xml><?xml version="1.0" encoding="utf-8"?>
<table xmlns="http://schemas.openxmlformats.org/spreadsheetml/2006/main" id="6" name="Módulo3" displayName="Módulo3" ref="A68:D75" totalsRowCount="1">
  <autoFilter ref="A68:D74"/>
  <tableColumns count="4">
    <tableColumn id="1" name="3" dataDxfId="10"/>
    <tableColumn id="2" name="Provisão para Rescisão" dataDxfId="11"/>
    <tableColumn id="3" name="Comentário" dataDxfId="12"/>
    <tableColumn id="4" name="Valor" dataDxfId="13"/>
  </tableColumns>
  <tableStyleInfo showFirstColumn="0" showLastColumn="0" showRowStripes="1" showColumnStripes="0"/>
</table>
</file>

<file path=xl/tables/table50.xml><?xml version="1.0" encoding="utf-8"?>
<table xmlns="http://schemas.openxmlformats.org/spreadsheetml/2006/main" id="117" name="ResumoMódulo257" displayName="ResumoMódulo257" ref="A69:D73" totalsRowCount="1">
  <autoFilter ref="A69:D72"/>
  <tableColumns count="4">
    <tableColumn id="1" name="2" totalsRowLabel="Total" dataDxfId="163"/>
    <tableColumn id="2" name="Encargos e Benefícios Anuais, Mensais e Diários" dataDxfId="164"/>
    <tableColumn id="3" name="Comentário" dataDxfId="165"/>
    <tableColumn id="4" name="Valor" totalsRowFunction="custom">
      <totalsRowFormula>TRUNC((SUM(D70:D72)),2)</totalsRowFormula>
    </tableColumn>
  </tableColumns>
  <tableStyleInfo showFirstColumn="0" showLastColumn="0" showRowStripes="1" showColumnStripes="0"/>
</table>
</file>

<file path=xl/tables/table51.xml><?xml version="1.0" encoding="utf-8"?>
<table xmlns="http://schemas.openxmlformats.org/spreadsheetml/2006/main" id="118" name="Submódulo2.154" displayName="Submódulo2.154" ref="A36:D39" totalsRowCount="1">
  <autoFilter ref="A36:D38"/>
  <tableColumns count="4">
    <tableColumn id="1" name="2.1" totalsRowLabel="Total" dataDxfId="166"/>
    <tableColumn id="2" name="13º (décimo terceiro) Salário, Férias e Adicional de Férias" dataDxfId="167"/>
    <tableColumn id="3" name="Percentual" dataDxfId="168"/>
    <tableColumn id="4" name="Valor" totalsRowFunction="custom">
      <totalsRowFormula>TRUNC((SUM(D37:D38)),2)</totalsRowFormula>
    </tableColumn>
  </tableColumns>
  <tableStyleInfo showFirstColumn="0" showLastColumn="0" showRowStripes="1" showColumnStripes="0"/>
</table>
</file>

<file path=xl/tables/table52.xml><?xml version="1.0" encoding="utf-8"?>
<table xmlns="http://schemas.openxmlformats.org/spreadsheetml/2006/main" id="119" name="ResumoMódulo461" displayName="ResumoMódulo461" ref="A107:D110" totalsRowCount="1">
  <autoFilter ref="A107:D109"/>
  <tableColumns count="4">
    <tableColumn id="1" name="4" totalsRowLabel="Total" dataDxfId="169"/>
    <tableColumn id="2" name="Custo de Reposição do Profissional Ausente" dataDxfId="170"/>
    <tableColumn id="3" name="Comentário" totalsRowLabel="*Nota: Se o titular USUFRUIR do descanso intrajornada, o total é o somatório dos subitens 4.1 e 4.2" dataDxfId="171"/>
    <tableColumn id="4" name="Valor" totalsRowFunction="custom">
      <totalsRowFormula>TRUNC((SUM(D108:D109)),2)</totalsRowFormula>
    </tableColumn>
  </tableColumns>
  <tableStyleInfo showFirstColumn="0" showLastColumn="0" showRowStripes="1" showColumnStripes="0"/>
</table>
</file>

<file path=xl/tables/table53.xml><?xml version="1.0" encoding="utf-8"?>
<table xmlns="http://schemas.openxmlformats.org/spreadsheetml/2006/main" id="120" name="Submódulo2.255" displayName="Submódulo2.255" ref="A46:D55" totalsRowCount="1">
  <autoFilter ref="A46:D54"/>
  <tableColumns count="4">
    <tableColumn id="1" name="2.2" totalsRowLabel="Total" dataDxfId="172"/>
    <tableColumn id="2" name="GPS, FGTS e outras contribuições" dataDxfId="173"/>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54.xml><?xml version="1.0" encoding="utf-8"?>
<table xmlns="http://schemas.openxmlformats.org/spreadsheetml/2006/main" id="121" name="ResumoPosto64" displayName="ResumoPosto64" ref="A140:D148" totalsRowShown="0">
  <autoFilter ref="A140:D148"/>
  <tableColumns count="4">
    <tableColumn id="1" name="Item" dataDxfId="174"/>
    <tableColumn id="2" name="Mão de obra vinculada à execução contratual" dataDxfId="175"/>
    <tableColumn id="3" name="-" dataDxfId="176"/>
    <tableColumn id="4" name="Valor" dataDxfId="177"/>
  </tableColumns>
  <tableStyleInfo showFirstColumn="0" showLastColumn="0" showRowStripes="1" showColumnStripes="0"/>
</table>
</file>

<file path=xl/tables/table55.xml><?xml version="1.0" encoding="utf-8"?>
<table xmlns="http://schemas.openxmlformats.org/spreadsheetml/2006/main" id="122" name="Módulo153" displayName="Módulo153" ref="A24:D31" totalsRowCount="1">
  <autoFilter ref="A24:D30"/>
  <tableColumns count="4">
    <tableColumn id="1" name="1" totalsRowLabel="Total" dataDxfId="178"/>
    <tableColumn id="2" name="Composição da Remuneração" dataDxfId="179"/>
    <tableColumn id="3" name="Comentário" dataDxfId="180"/>
    <tableColumn id="4" name="Valor" totalsRowFunction="custom">
      <totalsRowFormula>TRUNC((SUM(D25:D30)),2)</totalsRowFormula>
    </tableColumn>
  </tableColumns>
  <tableStyleInfo showFirstColumn="0" showLastColumn="0" showRowStripes="1" showColumnStripes="0"/>
</table>
</file>

<file path=xl/tables/table56.xml><?xml version="1.0" encoding="utf-8"?>
<table xmlns="http://schemas.openxmlformats.org/spreadsheetml/2006/main" id="123" name="Submódulo2.356" displayName="Submódulo2.356" ref="A58:D66" totalsRowCount="1">
  <autoFilter ref="A58:D65"/>
  <tableColumns count="4">
    <tableColumn id="1" name="2.3" totalsRowLabel="Total" dataDxfId="181"/>
    <tableColumn id="2" name="Benefícios Mensais e Diários" dataDxfId="182"/>
    <tableColumn id="3" name="Comentário" dataDxfId="183"/>
    <tableColumn id="4" name="Valor" totalsRowFunction="custom">
      <totalsRowFormula>TRUNC((SUM(D59:D65)),2)</totalsRowFormula>
    </tableColumn>
  </tableColumns>
  <tableStyleInfo showFirstColumn="0" showLastColumn="0" showRowStripes="1" showColumnStripes="0"/>
</table>
</file>

<file path=xl/tables/table57.xml><?xml version="1.0" encoding="utf-8"?>
<table xmlns="http://schemas.openxmlformats.org/spreadsheetml/2006/main" id="124" name="Submódulo4.159" displayName="Submódulo4.159" ref="A92:D99" totalsRowCount="1">
  <autoFilter ref="A92:D98"/>
  <tableColumns count="4">
    <tableColumn id="1" name="4.1" totalsRowLabel="Total" dataDxfId="184"/>
    <tableColumn id="2" name="Substituto nas Ausências Legais" dataDxfId="185"/>
    <tableColumn id="3" name="Percentual" totalsRowFunction="sum" dataDxfId="186"/>
    <tableColumn id="4" name="Valor" totalsRowFunction="custom">
      <totalsRowFormula>TRUNC((SUM(D93:D98)),2)</totalsRowFormula>
    </tableColumn>
  </tableColumns>
  <tableStyleInfo showFirstColumn="0" showLastColumn="0" showRowStripes="1" showColumnStripes="0"/>
</table>
</file>

<file path=xl/tables/table58.xml><?xml version="1.0" encoding="utf-8"?>
<table xmlns="http://schemas.openxmlformats.org/spreadsheetml/2006/main" id="125" name="Submódulo4.260" displayName="Submódulo4.260" ref="A102:D104" totalsRowCount="1">
  <autoFilter ref="A102:D103"/>
  <tableColumns count="4">
    <tableColumn id="1" name="4.2" totalsRowLabel="Total" dataDxfId="187"/>
    <tableColumn id="2" name="Substituto na Intrajornada " dataDxfId="188"/>
    <tableColumn id="3" name="Comentário" dataDxfId="189"/>
    <tableColumn id="4" name="Valor" totalsRowFunction="custom">
      <totalsRowFormula>D103</totalsRowFormula>
    </tableColumn>
  </tableColumns>
  <tableStyleInfo showFirstColumn="0" showLastColumn="0" showRowStripes="1" showColumnStripes="0"/>
</table>
</file>

<file path=xl/tables/table59.xml><?xml version="1.0" encoding="utf-8"?>
<table xmlns="http://schemas.openxmlformats.org/spreadsheetml/2006/main" id="126" name="Table452" displayName="Table452" ref="A16:D21" totalsRowShown="0">
  <tableColumns count="4">
    <tableColumn id="1" name="Item" dataDxfId="190"/>
    <tableColumn id="2" name="Descrição" dataDxfId="191"/>
    <tableColumn id="3" name="Comentário" dataDxfId="192"/>
    <tableColumn id="4" name="Valor" dataDxfId="193"/>
  </tableColumns>
  <tableStyleInfo showFirstColumn="0" showLastColumn="0" showRowStripes="1" showColumnStripes="0"/>
</table>
</file>

<file path=xl/tables/table6.xml><?xml version="1.0" encoding="utf-8"?>
<table xmlns="http://schemas.openxmlformats.org/spreadsheetml/2006/main" id="8" name="Módulo5" displayName="Módulo5" ref="A114:D119" totalsRowCount="1">
  <autoFilter ref="A114:D118"/>
  <tableColumns count="4">
    <tableColumn id="1" name="5" dataDxfId="14"/>
    <tableColumn id="2" name="Insumos Diversos" dataDxfId="15"/>
    <tableColumn id="3" name="Comentário" dataDxfId="16"/>
    <tableColumn id="4" name="Valor" dataDxfId="17"/>
  </tableColumns>
  <tableStyleInfo showFirstColumn="0" showLastColumn="0" showRowStripes="1" showColumnStripes="0"/>
</table>
</file>

<file path=xl/tables/table60.xml><?xml version="1.0" encoding="utf-8"?>
<table xmlns="http://schemas.openxmlformats.org/spreadsheetml/2006/main" id="127" name="Módulo358" displayName="Módulo358" ref="A76:D83" totalsRowCount="1">
  <autoFilter ref="A76:D82"/>
  <tableColumns count="4">
    <tableColumn id="1" name="3" totalsRowLabel="Total" dataDxfId="194"/>
    <tableColumn id="2" name="Provisão para Rescisão" dataDxfId="195"/>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61.xml><?xml version="1.0" encoding="utf-8"?>
<table xmlns="http://schemas.openxmlformats.org/spreadsheetml/2006/main" id="128" name="Módulo562" displayName="Módulo562" ref="A113:D119" totalsRowCount="1">
  <autoFilter ref="A113:D118"/>
  <tableColumns count="4">
    <tableColumn id="1" name="5" totalsRowLabel="Total" dataDxfId="196"/>
    <tableColumn id="2" name="Insumos Diversos" dataDxfId="197"/>
    <tableColumn id="3" name="Comentário" dataDxfId="198"/>
    <tableColumn id="4" name="Valor" totalsRowFunction="custom">
      <totalsRowFormula>TRUNC(SUM(D114:D118),2)</totalsRowFormula>
    </tableColumn>
  </tableColumns>
  <tableStyleInfo showFirstColumn="0" showLastColumn="0" showRowStripes="1" showColumnStripes="0"/>
</table>
</file>

<file path=xl/tables/table62.xml><?xml version="1.0" encoding="utf-8"?>
<table xmlns="http://schemas.openxmlformats.org/spreadsheetml/2006/main" id="5" name="Table44" displayName="Table44" ref="A106:F127" totalsRowCount="1">
  <autoFilter ref="A106:F126"/>
  <tableColumns count="6">
    <tableColumn id="1" name="ITEM" totalsRowLabel="Total"/>
    <tableColumn id="2" name="DESCRIÇÃO"/>
    <tableColumn id="3" name="UNIDADE"/>
    <tableColumn id="4" name="QUANTIDADE"/>
    <tableColumn id="5" name="VALOR UNITÁRIO ESTIMADO"/>
    <tableColumn id="6" name="VALOR TOTAL ESTIMADO" totalsRowFunction="sum"/>
  </tableColumns>
  <tableStyleInfo name="TableStyleMedium14" showFirstColumn="0" showLastColumn="0" showRowStripes="1" showColumnStripes="0"/>
</table>
</file>

<file path=xl/tables/table63.xml><?xml version="1.0" encoding="utf-8"?>
<table xmlns="http://schemas.openxmlformats.org/spreadsheetml/2006/main" id="7" name="Table39" displayName="Table39" ref="A2:G6" totalsRowCount="1">
  <tableColumns count="7">
    <tableColumn id="1" name="Item" totalsRowLabel="TOTAL"/>
    <tableColumn id="2" name="Descrição"/>
    <tableColumn id="3" name="Unidade"/>
    <tableColumn id="4" name="Quantidade" dataDxfId="199"/>
    <tableColumn id="5" name="VIGÊNCIA (Mês)" dataDxfId="200"/>
    <tableColumn id="6" name="VALOR UNITÁRIO MÁXIMO ACEITÁVEL" dataDxfId="201"/>
    <tableColumn id="7" name="VALOR TOTAL MÁXIMO ACEITÁVEL" totalsRowFunction="custom">
      <totalsRowFormula>SUM(G3:G5)</totalsRowFormula>
    </tableColumn>
  </tableColumns>
  <tableStyleInfo name="TableStyleMedium14" showFirstColumn="0" showLastColumn="0" showRowStripes="1" showColumnStripes="0"/>
</table>
</file>

<file path=xl/tables/table7.xml><?xml version="1.0" encoding="utf-8"?>
<table xmlns="http://schemas.openxmlformats.org/spreadsheetml/2006/main" id="10" name="Módulo6" displayName="Módulo6" ref="A129:D136" totalsRowCount="1">
  <tableColumns count="4">
    <tableColumn id="1" name="6" dataDxfId="18"/>
    <tableColumn id="2" name="Custos Indiretos, Tributos e Lucro" dataDxfId="19"/>
    <tableColumn id="3" name="Percentual" dataDxfId="20"/>
    <tableColumn id="4" name="Valor" dataDxfId="21"/>
  </tableColumns>
  <tableStyleInfo showFirstColumn="0" showLastColumn="0" showRowStripes="1" showColumnStripes="0"/>
</table>
</file>

<file path=xl/tables/table8.xml><?xml version="1.0" encoding="utf-8"?>
<table xmlns="http://schemas.openxmlformats.org/spreadsheetml/2006/main" id="12" name="ResumoMódulo2" displayName="ResumoMódulo2" ref="A61:D65" totalsRowCount="1">
  <autoFilter ref="A61:D64"/>
  <tableColumns count="4">
    <tableColumn id="1" name="2" dataDxfId="22"/>
    <tableColumn id="2" name="Encargos e Benefícios Anuais, Mensais e Diários" dataDxfId="23"/>
    <tableColumn id="3" name="Comentário" dataDxfId="24"/>
    <tableColumn id="4" name="Valor" dataDxfId="25"/>
  </tableColumns>
  <tableStyleInfo showFirstColumn="0" showLastColumn="0" showRowStripes="1" showColumnStripes="0"/>
</table>
</file>

<file path=xl/tables/table9.xml><?xml version="1.0" encoding="utf-8"?>
<table xmlns="http://schemas.openxmlformats.org/spreadsheetml/2006/main" id="14" name="ResumoMódulo4" displayName="ResumoMódulo4" ref="A108:D111" totalsRowCount="1">
  <autoFilter ref="A108:D110"/>
  <tableColumns count="4">
    <tableColumn id="1" name="4" dataDxfId="26"/>
    <tableColumn id="2" name="Custo de Reposição do Profissional Ausente" dataDxfId="27"/>
    <tableColumn id="3" name="Comentário" dataDxfId="28"/>
    <tableColumn id="4" name="Valor" dataDxfId="29"/>
  </tableColumns>
  <tableStyleInfo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2.xml.rels><?xml version="1.0" encoding="UTF-8" standalone="yes"?>
<Relationships xmlns="http://schemas.openxmlformats.org/package/2006/relationships"><Relationship Id="rId9" Type="http://schemas.openxmlformats.org/officeDocument/2006/relationships/table" Target="../tables/table7.xml"/><Relationship Id="rId8" Type="http://schemas.openxmlformats.org/officeDocument/2006/relationships/table" Target="../tables/table6.xml"/><Relationship Id="rId7" Type="http://schemas.openxmlformats.org/officeDocument/2006/relationships/table" Target="../tables/table5.xml"/><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 Id="rId3" Type="http://schemas.openxmlformats.org/officeDocument/2006/relationships/table" Target="../tables/table1.xml"/><Relationship Id="rId24" Type="http://schemas.openxmlformats.org/officeDocument/2006/relationships/table" Target="../tables/table22.xml"/><Relationship Id="rId23" Type="http://schemas.openxmlformats.org/officeDocument/2006/relationships/table" Target="../tables/table21.xml"/><Relationship Id="rId22" Type="http://schemas.openxmlformats.org/officeDocument/2006/relationships/table" Target="../tables/table20.xml"/><Relationship Id="rId21" Type="http://schemas.openxmlformats.org/officeDocument/2006/relationships/table" Target="../tables/table19.xml"/><Relationship Id="rId20" Type="http://schemas.openxmlformats.org/officeDocument/2006/relationships/table" Target="../tables/table18.xml"/><Relationship Id="rId2" Type="http://schemas.openxmlformats.org/officeDocument/2006/relationships/vmlDrawing" Target="../drawings/vmlDrawing1.vml"/><Relationship Id="rId19" Type="http://schemas.openxmlformats.org/officeDocument/2006/relationships/table" Target="../tables/table17.xml"/><Relationship Id="rId18" Type="http://schemas.openxmlformats.org/officeDocument/2006/relationships/table" Target="../tables/table16.xml"/><Relationship Id="rId17" Type="http://schemas.openxmlformats.org/officeDocument/2006/relationships/table" Target="../tables/table15.xml"/><Relationship Id="rId16" Type="http://schemas.openxmlformats.org/officeDocument/2006/relationships/table" Target="../tables/table14.xml"/><Relationship Id="rId15" Type="http://schemas.openxmlformats.org/officeDocument/2006/relationships/table" Target="../tables/table13.xml"/><Relationship Id="rId14" Type="http://schemas.openxmlformats.org/officeDocument/2006/relationships/table" Target="../tables/table12.xml"/><Relationship Id="rId13" Type="http://schemas.openxmlformats.org/officeDocument/2006/relationships/table" Target="../tables/table11.xml"/><Relationship Id="rId12" Type="http://schemas.openxmlformats.org/officeDocument/2006/relationships/table" Target="../tables/table10.xml"/><Relationship Id="rId11" Type="http://schemas.openxmlformats.org/officeDocument/2006/relationships/table" Target="../tables/table9.xml"/><Relationship Id="rId10" Type="http://schemas.openxmlformats.org/officeDocument/2006/relationships/table" Target="../tables/table8.xml"/><Relationship Id="rId1" Type="http://schemas.openxmlformats.org/officeDocument/2006/relationships/comments" Target="../comments1.xml"/></Relationships>
</file>

<file path=xl/worksheets/_rels/sheet3.xml.rels><?xml version="1.0" encoding="UTF-8" standalone="yes"?>
<Relationships xmlns="http://schemas.openxmlformats.org/package/2006/relationships"><Relationship Id="rId9" Type="http://schemas.openxmlformats.org/officeDocument/2006/relationships/table" Target="../tables/table31.xml"/><Relationship Id="rId8" Type="http://schemas.openxmlformats.org/officeDocument/2006/relationships/table" Target="../tables/table30.xml"/><Relationship Id="rId7" Type="http://schemas.openxmlformats.org/officeDocument/2006/relationships/table" Target="../tables/table29.xml"/><Relationship Id="rId6" Type="http://schemas.openxmlformats.org/officeDocument/2006/relationships/table" Target="../tables/table28.xml"/><Relationship Id="rId5" Type="http://schemas.openxmlformats.org/officeDocument/2006/relationships/table" Target="../tables/table27.xml"/><Relationship Id="rId4" Type="http://schemas.openxmlformats.org/officeDocument/2006/relationships/table" Target="../tables/table26.xml"/><Relationship Id="rId3" Type="http://schemas.openxmlformats.org/officeDocument/2006/relationships/table" Target="../tables/table25.xml"/><Relationship Id="rId2" Type="http://schemas.openxmlformats.org/officeDocument/2006/relationships/table" Target="../tables/table24.xml"/><Relationship Id="rId13" Type="http://schemas.openxmlformats.org/officeDocument/2006/relationships/table" Target="../tables/table35.xml"/><Relationship Id="rId12" Type="http://schemas.openxmlformats.org/officeDocument/2006/relationships/table" Target="../tables/table34.xml"/><Relationship Id="rId11" Type="http://schemas.openxmlformats.org/officeDocument/2006/relationships/table" Target="../tables/table33.xml"/><Relationship Id="rId10" Type="http://schemas.openxmlformats.org/officeDocument/2006/relationships/table" Target="../tables/table32.xml"/><Relationship Id="rId1" Type="http://schemas.openxmlformats.org/officeDocument/2006/relationships/table" Target="../tables/table23.xml"/></Relationships>
</file>

<file path=xl/worksheets/_rels/sheet4.xml.rels><?xml version="1.0" encoding="UTF-8" standalone="yes"?>
<Relationships xmlns="http://schemas.openxmlformats.org/package/2006/relationships"><Relationship Id="rId9" Type="http://schemas.openxmlformats.org/officeDocument/2006/relationships/table" Target="../tables/table44.xml"/><Relationship Id="rId8" Type="http://schemas.openxmlformats.org/officeDocument/2006/relationships/table" Target="../tables/table43.xml"/><Relationship Id="rId7" Type="http://schemas.openxmlformats.org/officeDocument/2006/relationships/table" Target="../tables/table42.xml"/><Relationship Id="rId6" Type="http://schemas.openxmlformats.org/officeDocument/2006/relationships/table" Target="../tables/table41.xml"/><Relationship Id="rId5" Type="http://schemas.openxmlformats.org/officeDocument/2006/relationships/table" Target="../tables/table40.xml"/><Relationship Id="rId4" Type="http://schemas.openxmlformats.org/officeDocument/2006/relationships/table" Target="../tables/table39.xml"/><Relationship Id="rId3" Type="http://schemas.openxmlformats.org/officeDocument/2006/relationships/table" Target="../tables/table38.xml"/><Relationship Id="rId2" Type="http://schemas.openxmlformats.org/officeDocument/2006/relationships/table" Target="../tables/table37.xml"/><Relationship Id="rId13" Type="http://schemas.openxmlformats.org/officeDocument/2006/relationships/table" Target="../tables/table48.xml"/><Relationship Id="rId12" Type="http://schemas.openxmlformats.org/officeDocument/2006/relationships/table" Target="../tables/table47.xml"/><Relationship Id="rId11" Type="http://schemas.openxmlformats.org/officeDocument/2006/relationships/table" Target="../tables/table46.xml"/><Relationship Id="rId10" Type="http://schemas.openxmlformats.org/officeDocument/2006/relationships/table" Target="../tables/table45.xml"/><Relationship Id="rId1" Type="http://schemas.openxmlformats.org/officeDocument/2006/relationships/table" Target="../tables/table36.xml"/></Relationships>
</file>

<file path=xl/worksheets/_rels/sheet5.xml.rels><?xml version="1.0" encoding="UTF-8" standalone="yes"?>
<Relationships xmlns="http://schemas.openxmlformats.org/package/2006/relationships"><Relationship Id="rId9" Type="http://schemas.openxmlformats.org/officeDocument/2006/relationships/table" Target="../tables/table57.xml"/><Relationship Id="rId8" Type="http://schemas.openxmlformats.org/officeDocument/2006/relationships/table" Target="../tables/table56.xml"/><Relationship Id="rId7" Type="http://schemas.openxmlformats.org/officeDocument/2006/relationships/table" Target="../tables/table55.xml"/><Relationship Id="rId6" Type="http://schemas.openxmlformats.org/officeDocument/2006/relationships/table" Target="../tables/table54.xml"/><Relationship Id="rId5" Type="http://schemas.openxmlformats.org/officeDocument/2006/relationships/table" Target="../tables/table53.xml"/><Relationship Id="rId4" Type="http://schemas.openxmlformats.org/officeDocument/2006/relationships/table" Target="../tables/table52.xml"/><Relationship Id="rId3" Type="http://schemas.openxmlformats.org/officeDocument/2006/relationships/table" Target="../tables/table51.xml"/><Relationship Id="rId2" Type="http://schemas.openxmlformats.org/officeDocument/2006/relationships/table" Target="../tables/table50.xml"/><Relationship Id="rId13" Type="http://schemas.openxmlformats.org/officeDocument/2006/relationships/table" Target="../tables/table61.xml"/><Relationship Id="rId12" Type="http://schemas.openxmlformats.org/officeDocument/2006/relationships/table" Target="../tables/table60.xml"/><Relationship Id="rId11" Type="http://schemas.openxmlformats.org/officeDocument/2006/relationships/table" Target="../tables/table59.xml"/><Relationship Id="rId10" Type="http://schemas.openxmlformats.org/officeDocument/2006/relationships/table" Target="../tables/table58.xml"/><Relationship Id="rId1" Type="http://schemas.openxmlformats.org/officeDocument/2006/relationships/table" Target="../tables/table49.xml"/></Relationships>
</file>

<file path=xl/worksheets/_rels/sheet8.xml.rels><?xml version="1.0" encoding="UTF-8" standalone="yes"?>
<Relationships xmlns="http://schemas.openxmlformats.org/package/2006/relationships"><Relationship Id="rId1" Type="http://schemas.openxmlformats.org/officeDocument/2006/relationships/table" Target="../tables/table62.xml"/></Relationships>
</file>

<file path=xl/worksheets/_rels/sheet9.xml.rels><?xml version="1.0" encoding="UTF-8" standalone="yes"?>
<Relationships xmlns="http://schemas.openxmlformats.org/package/2006/relationships"><Relationship Id="rId1" Type="http://schemas.openxmlformats.org/officeDocument/2006/relationships/table" Target="../tables/table6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4"/>
  <sheetViews>
    <sheetView showGridLines="0" workbookViewId="0">
      <selection activeCell="A1" sqref="A1:K1"/>
    </sheetView>
  </sheetViews>
  <sheetFormatPr defaultColWidth="9" defaultRowHeight="14.4"/>
  <cols>
    <col min="1" max="1025" width="9" customWidth="1"/>
  </cols>
  <sheetData>
    <row r="1" spans="1:11">
      <c r="A1" s="184" t="s">
        <v>0</v>
      </c>
      <c r="B1" s="184"/>
      <c r="C1" s="184"/>
      <c r="D1" s="184"/>
      <c r="E1" s="184"/>
      <c r="F1" s="184"/>
      <c r="G1" s="184"/>
      <c r="H1" s="184"/>
      <c r="I1" s="184"/>
      <c r="J1" s="184"/>
      <c r="K1" s="184"/>
    </row>
    <row r="2" ht="57" customHeight="1" spans="1:11">
      <c r="A2" s="185" t="s">
        <v>1</v>
      </c>
      <c r="B2" s="185"/>
      <c r="C2" s="185"/>
      <c r="D2" s="185"/>
      <c r="E2" s="185"/>
      <c r="F2" s="185"/>
      <c r="G2" s="185"/>
      <c r="H2" s="185"/>
      <c r="I2" s="185"/>
      <c r="J2" s="185"/>
      <c r="K2" s="185"/>
    </row>
    <row r="3" ht="51" customHeight="1" spans="1:11">
      <c r="A3" s="185" t="s">
        <v>2</v>
      </c>
      <c r="B3" s="185"/>
      <c r="C3" s="185"/>
      <c r="D3" s="185"/>
      <c r="E3" s="185"/>
      <c r="F3" s="185"/>
      <c r="G3" s="185"/>
      <c r="H3" s="185"/>
      <c r="I3" s="185"/>
      <c r="J3" s="185"/>
      <c r="K3" s="185"/>
    </row>
    <row r="4" ht="54.75" customHeight="1" spans="1:11">
      <c r="A4" s="185" t="s">
        <v>3</v>
      </c>
      <c r="B4" s="185"/>
      <c r="C4" s="185"/>
      <c r="D4" s="185"/>
      <c r="E4" s="185"/>
      <c r="F4" s="185"/>
      <c r="G4" s="185"/>
      <c r="H4" s="185"/>
      <c r="I4" s="185"/>
      <c r="J4" s="185"/>
      <c r="K4" s="185"/>
    </row>
    <row r="5" ht="67.5" customHeight="1" spans="1:11">
      <c r="A5" s="186" t="s">
        <v>4</v>
      </c>
      <c r="B5" s="186"/>
      <c r="C5" s="186"/>
      <c r="D5" s="186"/>
      <c r="E5" s="186"/>
      <c r="F5" s="186"/>
      <c r="G5" s="186"/>
      <c r="H5" s="186"/>
      <c r="I5" s="186"/>
      <c r="J5" s="186"/>
      <c r="K5" s="186"/>
    </row>
    <row r="6" ht="84.75" customHeight="1" spans="1:11">
      <c r="A6" s="186" t="s">
        <v>5</v>
      </c>
      <c r="B6" s="186"/>
      <c r="C6" s="186"/>
      <c r="D6" s="186"/>
      <c r="E6" s="186"/>
      <c r="F6" s="186"/>
      <c r="G6" s="186"/>
      <c r="H6" s="186"/>
      <c r="I6" s="186"/>
      <c r="J6" s="186"/>
      <c r="K6" s="186"/>
    </row>
    <row r="7" ht="49.5" customHeight="1" spans="1:11">
      <c r="A7" s="186" t="s">
        <v>6</v>
      </c>
      <c r="B7" s="186"/>
      <c r="C7" s="186"/>
      <c r="D7" s="186"/>
      <c r="E7" s="186"/>
      <c r="F7" s="186"/>
      <c r="G7" s="186"/>
      <c r="H7" s="186"/>
      <c r="I7" s="186"/>
      <c r="J7" s="186"/>
      <c r="K7" s="186"/>
    </row>
    <row r="8" ht="38.25" customHeight="1" spans="1:11">
      <c r="A8" s="186" t="s">
        <v>7</v>
      </c>
      <c r="B8" s="186"/>
      <c r="C8" s="186"/>
      <c r="D8" s="186"/>
      <c r="E8" s="186"/>
      <c r="F8" s="186"/>
      <c r="G8" s="186"/>
      <c r="H8" s="186"/>
      <c r="I8" s="186"/>
      <c r="J8" s="186"/>
      <c r="K8" s="186"/>
    </row>
    <row r="9" ht="39.75" customHeight="1" spans="1:11">
      <c r="A9" s="185" t="s">
        <v>8</v>
      </c>
      <c r="B9" s="185"/>
      <c r="C9" s="185"/>
      <c r="D9" s="185"/>
      <c r="E9" s="185"/>
      <c r="F9" s="185"/>
      <c r="G9" s="185"/>
      <c r="H9" s="185"/>
      <c r="I9" s="185"/>
      <c r="J9" s="185"/>
      <c r="K9" s="185"/>
    </row>
    <row r="10" ht="41.25" customHeight="1" spans="1:11">
      <c r="A10" s="185" t="s">
        <v>9</v>
      </c>
      <c r="B10" s="185"/>
      <c r="C10" s="185"/>
      <c r="D10" s="185"/>
      <c r="E10" s="185"/>
      <c r="F10" s="185"/>
      <c r="G10" s="185"/>
      <c r="H10" s="185"/>
      <c r="I10" s="185"/>
      <c r="J10" s="185"/>
      <c r="K10" s="185"/>
    </row>
    <row r="11" ht="41.25" customHeight="1" spans="1:11">
      <c r="A11" s="187" t="s">
        <v>10</v>
      </c>
      <c r="B11" s="187"/>
      <c r="C11" s="187"/>
      <c r="D11" s="187"/>
      <c r="E11" s="187"/>
      <c r="F11" s="187"/>
      <c r="G11" s="187"/>
      <c r="H11" s="187"/>
      <c r="I11" s="187"/>
      <c r="J11" s="187"/>
      <c r="K11" s="187"/>
    </row>
    <row r="12" spans="1:11">
      <c r="A12" s="188" t="s">
        <v>11</v>
      </c>
      <c r="B12" s="188"/>
      <c r="C12" s="188"/>
      <c r="D12" s="188"/>
      <c r="E12" s="188"/>
      <c r="F12" s="188"/>
      <c r="G12" s="188"/>
      <c r="H12" s="188"/>
      <c r="I12" s="188"/>
      <c r="J12" s="188"/>
      <c r="K12" s="188"/>
    </row>
    <row r="13" spans="1:11">
      <c r="A13" s="189" t="s">
        <v>12</v>
      </c>
      <c r="B13" s="189"/>
      <c r="C13" s="189"/>
      <c r="D13" s="189"/>
      <c r="E13" s="189"/>
      <c r="F13" s="189"/>
      <c r="G13" s="189"/>
      <c r="H13" s="189"/>
      <c r="I13" s="189"/>
      <c r="J13" s="189"/>
      <c r="K13" s="189"/>
    </row>
    <row r="14" spans="1:11">
      <c r="A14" s="189" t="s">
        <v>13</v>
      </c>
      <c r="B14" s="189"/>
      <c r="C14" s="189"/>
      <c r="D14" s="189"/>
      <c r="E14" s="189"/>
      <c r="F14" s="189"/>
      <c r="G14" s="189"/>
      <c r="H14" s="189"/>
      <c r="I14" s="189"/>
      <c r="J14" s="189"/>
      <c r="K14" s="189"/>
    </row>
  </sheetData>
  <sheetProtection sheet="1" objects="1" scenarios="1"/>
  <mergeCells count="14">
    <mergeCell ref="A1:K1"/>
    <mergeCell ref="A2:K2"/>
    <mergeCell ref="A3:K3"/>
    <mergeCell ref="A4:K4"/>
    <mergeCell ref="A5:K5"/>
    <mergeCell ref="A6:K6"/>
    <mergeCell ref="A7:K7"/>
    <mergeCell ref="A8:K8"/>
    <mergeCell ref="A9:K9"/>
    <mergeCell ref="A10:K10"/>
    <mergeCell ref="A11:K11"/>
    <mergeCell ref="A12:K12"/>
    <mergeCell ref="A13:K13"/>
    <mergeCell ref="A14:K14"/>
  </mergeCells>
  <pageMargins left="0.7" right="0.7" top="0.75" bottom="0.75" header="0.511805555555555" footer="0.511805555555555"/>
  <pageSetup paperSize="9" firstPageNumber="0" orientation="portrait" useFirstPageNumber="1" horizontalDpi="3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148"/>
  <sheetViews>
    <sheetView showGridLines="0" zoomScale="85" zoomScaleNormal="85" workbookViewId="0">
      <selection activeCell="A1" sqref="A1:D1"/>
    </sheetView>
  </sheetViews>
  <sheetFormatPr defaultColWidth="9" defaultRowHeight="14.4"/>
  <cols>
    <col min="1" max="1" width="12.4166666666667" customWidth="1"/>
    <col min="2" max="2" width="76.4074074074074" customWidth="1"/>
    <col min="3" max="3" width="28.4166666666667" customWidth="1"/>
    <col min="4" max="4" width="27.4166666666667" customWidth="1"/>
    <col min="5" max="5" width="9" customWidth="1"/>
    <col min="6" max="6" width="32.712962962963" customWidth="1"/>
    <col min="7" max="7" width="13.0185185185185" customWidth="1"/>
    <col min="8" max="1025" width="9" customWidth="1"/>
  </cols>
  <sheetData>
    <row r="1" spans="1:21">
      <c r="A1" s="171" t="s">
        <v>14</v>
      </c>
      <c r="B1" s="171"/>
      <c r="C1" s="171"/>
      <c r="D1" s="171"/>
      <c r="F1" s="96" t="s">
        <v>15</v>
      </c>
      <c r="G1" s="96"/>
      <c r="H1" s="110"/>
      <c r="I1" s="110"/>
      <c r="J1" s="110"/>
      <c r="K1" s="110"/>
      <c r="L1" s="110"/>
      <c r="M1" s="110"/>
      <c r="N1" s="110"/>
      <c r="O1" s="110"/>
      <c r="P1" s="110"/>
      <c r="Q1" s="110"/>
      <c r="R1" s="110"/>
      <c r="S1" s="110"/>
      <c r="T1" s="110"/>
      <c r="U1" s="110"/>
    </row>
    <row r="2" spans="1:21">
      <c r="A2" s="98" t="s">
        <v>16</v>
      </c>
      <c r="B2" t="s">
        <v>17</v>
      </c>
      <c r="C2" s="98" t="s">
        <v>18</v>
      </c>
      <c r="D2" s="98" t="s">
        <v>19</v>
      </c>
      <c r="F2" s="21" t="s">
        <v>17</v>
      </c>
      <c r="G2" s="21" t="s">
        <v>19</v>
      </c>
      <c r="H2" s="110"/>
      <c r="I2" s="110"/>
      <c r="J2" s="110"/>
      <c r="K2" s="110"/>
      <c r="L2" s="110"/>
      <c r="M2" s="110"/>
      <c r="N2" s="110"/>
      <c r="O2" s="110"/>
      <c r="P2" s="110"/>
      <c r="Q2" s="110"/>
      <c r="R2" s="110"/>
      <c r="S2" s="110"/>
      <c r="T2" s="110"/>
      <c r="U2" s="110"/>
    </row>
    <row r="3" spans="1:21">
      <c r="A3" s="98">
        <v>1</v>
      </c>
      <c r="B3" t="s">
        <v>20</v>
      </c>
      <c r="C3" s="98"/>
      <c r="D3" s="98" t="s">
        <v>21</v>
      </c>
      <c r="F3" t="s">
        <v>22</v>
      </c>
      <c r="G3" s="172">
        <v>0</v>
      </c>
      <c r="H3" s="110"/>
      <c r="I3" s="110"/>
      <c r="J3" s="110"/>
      <c r="K3" s="110"/>
      <c r="L3" s="110"/>
      <c r="M3" s="110"/>
      <c r="N3" s="110"/>
      <c r="O3" s="110"/>
      <c r="P3" s="110"/>
      <c r="Q3" s="110"/>
      <c r="R3" s="110"/>
      <c r="S3" s="110"/>
      <c r="T3" s="110"/>
      <c r="U3" s="110"/>
    </row>
    <row r="4" spans="1:21">
      <c r="A4" s="98">
        <v>2</v>
      </c>
      <c r="B4" t="s">
        <v>23</v>
      </c>
      <c r="C4" s="98"/>
      <c r="D4" s="98" t="s">
        <v>24</v>
      </c>
      <c r="F4" t="s">
        <v>25</v>
      </c>
      <c r="G4" s="172">
        <v>12</v>
      </c>
      <c r="H4" s="110"/>
      <c r="I4" s="110"/>
      <c r="J4" s="110"/>
      <c r="K4" s="110"/>
      <c r="L4" s="110"/>
      <c r="M4" s="110"/>
      <c r="N4" s="110"/>
      <c r="O4" s="110"/>
      <c r="P4" s="110"/>
      <c r="Q4" s="110"/>
      <c r="R4" s="110"/>
      <c r="S4" s="110"/>
      <c r="T4" s="110"/>
      <c r="U4" s="110"/>
    </row>
    <row r="5" spans="1:21">
      <c r="A5" s="98">
        <v>3</v>
      </c>
      <c r="B5" t="s">
        <v>26</v>
      </c>
      <c r="C5" s="98" t="s">
        <v>27</v>
      </c>
      <c r="D5" s="173">
        <v>998</v>
      </c>
      <c r="F5" t="s">
        <v>28</v>
      </c>
      <c r="G5" s="99">
        <v>22</v>
      </c>
      <c r="H5" s="110"/>
      <c r="I5" s="110"/>
      <c r="J5" s="110"/>
      <c r="K5" s="110"/>
      <c r="L5" s="110"/>
      <c r="M5" s="110"/>
      <c r="N5" s="110"/>
      <c r="O5" s="110"/>
      <c r="P5" s="110"/>
      <c r="Q5" s="110"/>
      <c r="R5" s="110"/>
      <c r="S5" s="110"/>
      <c r="T5" s="110"/>
      <c r="U5" s="110"/>
    </row>
    <row r="6" spans="1:21">
      <c r="A6" s="98">
        <v>4</v>
      </c>
      <c r="B6" t="s">
        <v>29</v>
      </c>
      <c r="C6" s="98" t="s">
        <v>30</v>
      </c>
      <c r="D6" s="98" t="s">
        <v>31</v>
      </c>
      <c r="F6" t="s">
        <v>32</v>
      </c>
      <c r="G6" s="174">
        <v>0.03</v>
      </c>
      <c r="H6" s="110"/>
      <c r="I6" s="110"/>
      <c r="J6" s="110"/>
      <c r="K6" s="110"/>
      <c r="L6" s="110"/>
      <c r="M6" s="110"/>
      <c r="N6" s="110"/>
      <c r="O6" s="110"/>
      <c r="P6" s="110"/>
      <c r="Q6" s="110"/>
      <c r="R6" s="110"/>
      <c r="S6" s="110"/>
      <c r="T6" s="110"/>
      <c r="U6" s="110"/>
    </row>
    <row r="7" spans="1:21">
      <c r="A7" s="98">
        <v>5</v>
      </c>
      <c r="B7" t="s">
        <v>33</v>
      </c>
      <c r="C7" s="98"/>
      <c r="D7" s="98" t="s">
        <v>34</v>
      </c>
      <c r="H7" s="110"/>
      <c r="I7" s="110"/>
      <c r="J7" s="110"/>
      <c r="K7" s="110"/>
      <c r="L7" s="110"/>
      <c r="M7" s="110"/>
      <c r="N7" s="110"/>
      <c r="O7" s="110"/>
      <c r="P7" s="110"/>
      <c r="Q7" s="110"/>
      <c r="R7" s="110"/>
      <c r="S7" s="110"/>
      <c r="T7" s="110"/>
      <c r="U7" s="110"/>
    </row>
    <row r="8" spans="6:21">
      <c r="F8" s="96" t="s">
        <v>35</v>
      </c>
      <c r="G8" s="96"/>
      <c r="H8" s="110"/>
      <c r="I8" s="110"/>
      <c r="J8" s="110"/>
      <c r="K8" s="110"/>
      <c r="L8" s="110"/>
      <c r="M8" s="110"/>
      <c r="N8" s="110"/>
      <c r="O8" s="110"/>
      <c r="P8" s="110"/>
      <c r="Q8" s="110"/>
      <c r="R8" s="110"/>
      <c r="S8" s="110"/>
      <c r="T8" s="110"/>
      <c r="U8" s="110"/>
    </row>
    <row r="9" spans="1:21">
      <c r="A9" s="76" t="s">
        <v>36</v>
      </c>
      <c r="B9" s="76"/>
      <c r="C9" s="76"/>
      <c r="D9" s="76"/>
      <c r="F9" s="21" t="s">
        <v>37</v>
      </c>
      <c r="G9" s="21" t="s">
        <v>38</v>
      </c>
      <c r="H9" s="110"/>
      <c r="I9" s="110"/>
      <c r="J9" s="110"/>
      <c r="K9" s="110"/>
      <c r="L9" s="110"/>
      <c r="M9" s="110"/>
      <c r="N9" s="110"/>
      <c r="O9" s="110"/>
      <c r="P9" s="110"/>
      <c r="Q9" s="110"/>
      <c r="R9" s="110"/>
      <c r="S9" s="110"/>
      <c r="T9" s="110"/>
      <c r="U9" s="110"/>
    </row>
    <row r="10" spans="1:21">
      <c r="A10" s="98" t="s">
        <v>39</v>
      </c>
      <c r="B10" s="21" t="s">
        <v>40</v>
      </c>
      <c r="C10" s="98" t="s">
        <v>18</v>
      </c>
      <c r="D10" s="98" t="s">
        <v>19</v>
      </c>
      <c r="F10" t="s">
        <v>41</v>
      </c>
      <c r="G10" s="103">
        <v>0.4337</v>
      </c>
      <c r="H10" s="110"/>
      <c r="I10" s="110"/>
      <c r="J10" s="110"/>
      <c r="K10" s="110"/>
      <c r="L10" s="110"/>
      <c r="M10" s="110"/>
      <c r="N10" s="110"/>
      <c r="O10" s="110"/>
      <c r="P10" s="110"/>
      <c r="Q10" s="110"/>
      <c r="R10" s="110"/>
      <c r="S10" s="110"/>
      <c r="T10" s="110"/>
      <c r="U10" s="110"/>
    </row>
    <row r="11" spans="1:21">
      <c r="A11" s="98" t="s">
        <v>42</v>
      </c>
      <c r="B11" t="s">
        <v>43</v>
      </c>
      <c r="C11" s="98"/>
      <c r="D11" s="104">
        <f>Salário_Normativo_da_Categoria_Profissional</f>
        <v>998</v>
      </c>
      <c r="F11" t="s">
        <v>44</v>
      </c>
      <c r="G11" s="103">
        <v>0.4337</v>
      </c>
      <c r="H11" s="110"/>
      <c r="I11" s="110"/>
      <c r="J11" s="110"/>
      <c r="K11" s="110"/>
      <c r="L11" s="110"/>
      <c r="M11" s="110"/>
      <c r="N11" s="110"/>
      <c r="O11" s="110"/>
      <c r="P11" s="110"/>
      <c r="Q11" s="110"/>
      <c r="R11" s="110"/>
      <c r="S11" s="110"/>
      <c r="T11" s="110"/>
      <c r="U11" s="110"/>
    </row>
    <row r="12" spans="1:21">
      <c r="A12" s="98" t="s">
        <v>45</v>
      </c>
      <c r="B12" t="s">
        <v>46</v>
      </c>
      <c r="C12" s="98"/>
      <c r="D12" s="104"/>
      <c r="F12" t="s">
        <v>47</v>
      </c>
      <c r="G12" s="103">
        <v>0.0218</v>
      </c>
      <c r="H12" s="110"/>
      <c r="I12" s="110"/>
      <c r="J12" s="110"/>
      <c r="K12" s="110"/>
      <c r="L12" s="110"/>
      <c r="M12" s="110"/>
      <c r="N12" s="110"/>
      <c r="O12" s="110"/>
      <c r="P12" s="110"/>
      <c r="Q12" s="110"/>
      <c r="R12" s="110"/>
      <c r="S12" s="110"/>
      <c r="T12" s="110"/>
      <c r="U12" s="110"/>
    </row>
    <row r="13" spans="1:21">
      <c r="A13" s="98" t="s">
        <v>48</v>
      </c>
      <c r="B13" t="s">
        <v>49</v>
      </c>
      <c r="C13" s="98"/>
      <c r="D13" s="104"/>
      <c r="H13" s="110"/>
      <c r="I13" s="110"/>
      <c r="J13" s="110"/>
      <c r="K13" s="110"/>
      <c r="L13" s="110"/>
      <c r="M13" s="110"/>
      <c r="N13" s="110"/>
      <c r="O13" s="110"/>
      <c r="P13" s="110"/>
      <c r="Q13" s="110"/>
      <c r="R13" s="110"/>
      <c r="S13" s="110"/>
      <c r="T13" s="110"/>
      <c r="U13" s="110"/>
    </row>
    <row r="14" spans="1:21">
      <c r="A14" s="98" t="s">
        <v>50</v>
      </c>
      <c r="B14" t="s">
        <v>51</v>
      </c>
      <c r="C14" s="98"/>
      <c r="D14" s="104"/>
      <c r="F14" s="96" t="s">
        <v>52</v>
      </c>
      <c r="G14" s="96"/>
      <c r="H14" s="110"/>
      <c r="I14" s="110"/>
      <c r="J14" s="110"/>
      <c r="K14" s="110"/>
      <c r="L14" s="110"/>
      <c r="M14" s="110"/>
      <c r="N14" s="110"/>
      <c r="O14" s="110"/>
      <c r="P14" s="110"/>
      <c r="Q14" s="110"/>
      <c r="R14" s="110"/>
      <c r="S14" s="110"/>
      <c r="T14" s="110"/>
      <c r="U14" s="110"/>
    </row>
    <row r="15" spans="1:21">
      <c r="A15" s="98" t="s">
        <v>53</v>
      </c>
      <c r="B15" t="s">
        <v>54</v>
      </c>
      <c r="C15" s="98"/>
      <c r="D15" s="104"/>
      <c r="F15" s="175" t="s">
        <v>17</v>
      </c>
      <c r="G15" s="175" t="s">
        <v>38</v>
      </c>
      <c r="H15" s="110"/>
      <c r="I15" s="110"/>
      <c r="J15" s="110"/>
      <c r="K15" s="110"/>
      <c r="L15" s="110"/>
      <c r="M15" s="110"/>
      <c r="N15" s="110"/>
      <c r="O15" s="110"/>
      <c r="P15" s="110"/>
      <c r="Q15" s="110"/>
      <c r="R15" s="110"/>
      <c r="S15" s="110"/>
      <c r="T15" s="110"/>
      <c r="U15" s="110"/>
    </row>
    <row r="16" spans="1:21">
      <c r="A16" s="98" t="s">
        <v>55</v>
      </c>
      <c r="B16" t="s">
        <v>56</v>
      </c>
      <c r="C16" s="98"/>
      <c r="D16" s="104"/>
      <c r="F16" s="110" t="s">
        <v>57</v>
      </c>
      <c r="G16" s="176">
        <v>0.0471</v>
      </c>
      <c r="H16" s="110"/>
      <c r="I16" s="110"/>
      <c r="J16" s="110"/>
      <c r="K16" s="110"/>
      <c r="L16" s="110"/>
      <c r="M16" s="110"/>
      <c r="N16" s="110"/>
      <c r="O16" s="110"/>
      <c r="P16" s="110"/>
      <c r="Q16" s="110"/>
      <c r="R16" s="110"/>
      <c r="S16" s="110"/>
      <c r="T16" s="110"/>
      <c r="U16" s="110"/>
    </row>
    <row r="17" spans="1:21">
      <c r="A17" s="98" t="s">
        <v>58</v>
      </c>
      <c r="C17" s="98"/>
      <c r="D17" s="104">
        <f>SUBTOTAL(109,Módulo1[Valor])</f>
        <v>998</v>
      </c>
      <c r="F17" s="110" t="s">
        <v>59</v>
      </c>
      <c r="G17" s="176">
        <v>0.0467</v>
      </c>
      <c r="H17" s="110"/>
      <c r="I17" s="110"/>
      <c r="J17" s="110"/>
      <c r="K17" s="110"/>
      <c r="L17" s="110"/>
      <c r="M17" s="110"/>
      <c r="N17" s="110"/>
      <c r="O17" s="110"/>
      <c r="P17" s="110"/>
      <c r="Q17" s="110"/>
      <c r="R17" s="110"/>
      <c r="S17" s="110"/>
      <c r="T17" s="110"/>
      <c r="U17" s="110"/>
    </row>
    <row r="18" spans="6:21">
      <c r="F18" s="110" t="s">
        <v>60</v>
      </c>
      <c r="G18" s="177">
        <v>0.0165</v>
      </c>
      <c r="H18" s="110"/>
      <c r="I18" s="110"/>
      <c r="J18" s="110"/>
      <c r="K18" s="110"/>
      <c r="L18" s="110"/>
      <c r="M18" s="110"/>
      <c r="N18" s="110"/>
      <c r="O18" s="110"/>
      <c r="P18" s="110"/>
      <c r="Q18" s="110"/>
      <c r="R18" s="110"/>
      <c r="S18" s="110"/>
      <c r="T18" s="110"/>
      <c r="U18" s="110"/>
    </row>
    <row r="19" spans="1:21">
      <c r="A19" s="107" t="s">
        <v>61</v>
      </c>
      <c r="B19" s="107"/>
      <c r="C19" s="107"/>
      <c r="D19" s="107"/>
      <c r="F19" s="110" t="s">
        <v>62</v>
      </c>
      <c r="G19" s="177">
        <v>0.076</v>
      </c>
      <c r="H19" s="110"/>
      <c r="I19" s="110"/>
      <c r="J19" s="110"/>
      <c r="K19" s="110"/>
      <c r="L19" s="110"/>
      <c r="M19" s="110"/>
      <c r="N19" s="110"/>
      <c r="O19" s="110"/>
      <c r="P19" s="110"/>
      <c r="Q19" s="110"/>
      <c r="R19" s="110"/>
      <c r="S19" s="110"/>
      <c r="T19" s="110"/>
      <c r="U19" s="110"/>
    </row>
    <row r="20" spans="1:21">
      <c r="A20" s="96" t="s">
        <v>63</v>
      </c>
      <c r="B20" s="96"/>
      <c r="C20" s="96"/>
      <c r="D20" s="96"/>
      <c r="F20" s="110" t="s">
        <v>64</v>
      </c>
      <c r="G20" s="177">
        <v>0.05</v>
      </c>
      <c r="H20" s="110"/>
      <c r="I20" s="110"/>
      <c r="J20" s="110"/>
      <c r="K20" s="110"/>
      <c r="L20" s="110"/>
      <c r="M20" s="110"/>
      <c r="N20" s="110"/>
      <c r="O20" s="110"/>
      <c r="P20" s="110"/>
      <c r="Q20" s="110"/>
      <c r="R20" s="110"/>
      <c r="S20" s="110"/>
      <c r="T20" s="110"/>
      <c r="U20" s="110"/>
    </row>
    <row r="21" spans="1:21">
      <c r="A21" s="98" t="s">
        <v>65</v>
      </c>
      <c r="B21" s="21" t="s">
        <v>66</v>
      </c>
      <c r="C21" s="98" t="s">
        <v>18</v>
      </c>
      <c r="D21" s="98" t="s">
        <v>19</v>
      </c>
      <c r="F21" s="110"/>
      <c r="G21" s="110"/>
      <c r="H21" s="110"/>
      <c r="I21" s="110"/>
      <c r="J21" s="110"/>
      <c r="K21" s="110"/>
      <c r="L21" s="110"/>
      <c r="M21" s="110"/>
      <c r="N21" s="110"/>
      <c r="O21" s="110"/>
      <c r="P21" s="110"/>
      <c r="Q21" s="110"/>
      <c r="R21" s="110"/>
      <c r="S21" s="110"/>
      <c r="T21" s="110"/>
      <c r="U21" s="110"/>
    </row>
    <row r="22" spans="1:21">
      <c r="A22" s="98" t="s">
        <v>42</v>
      </c>
      <c r="B22" t="s">
        <v>67</v>
      </c>
      <c r="D22" s="104">
        <f>Módulo1[[#Totals],[Valor]]/12</f>
        <v>83.1666666666667</v>
      </c>
      <c r="F22" s="110"/>
      <c r="G22" s="110"/>
      <c r="H22" s="110"/>
      <c r="I22" s="110"/>
      <c r="J22" s="110"/>
      <c r="K22" s="110"/>
      <c r="L22" s="110"/>
      <c r="M22" s="110"/>
      <c r="N22" s="110"/>
      <c r="O22" s="110"/>
      <c r="P22" s="110"/>
      <c r="Q22" s="110"/>
      <c r="R22" s="110"/>
      <c r="S22" s="110"/>
      <c r="T22" s="110"/>
      <c r="U22" s="110"/>
    </row>
    <row r="23" spans="1:21">
      <c r="A23" s="98" t="s">
        <v>45</v>
      </c>
      <c r="B23" t="s">
        <v>68</v>
      </c>
      <c r="D23" s="104">
        <f>(Módulo1[[#Totals],[Valor]]/12)*(1+(1/3))</f>
        <v>110.888888888889</v>
      </c>
      <c r="F23" s="110"/>
      <c r="G23" s="110"/>
      <c r="H23" s="110"/>
      <c r="I23" s="110"/>
      <c r="J23" s="110"/>
      <c r="K23" s="110"/>
      <c r="L23" s="110"/>
      <c r="M23" s="110"/>
      <c r="N23" s="110"/>
      <c r="O23" s="110"/>
      <c r="P23" s="110"/>
      <c r="Q23" s="110"/>
      <c r="R23" s="110"/>
      <c r="S23" s="110"/>
      <c r="T23" s="110"/>
      <c r="U23" s="110"/>
    </row>
    <row r="24" spans="1:21">
      <c r="A24" s="98" t="s">
        <v>58</v>
      </c>
      <c r="D24" s="104">
        <f>SUBTOTAL(109,Submódulo2.1[Valor])</f>
        <v>194.055555555556</v>
      </c>
      <c r="F24" s="110"/>
      <c r="G24" s="110"/>
      <c r="H24" s="110"/>
      <c r="I24" s="110"/>
      <c r="J24" s="110"/>
      <c r="K24" s="110"/>
      <c r="L24" s="110"/>
      <c r="M24" s="110"/>
      <c r="N24" s="110"/>
      <c r="O24" s="110"/>
      <c r="P24" s="110"/>
      <c r="Q24" s="110"/>
      <c r="R24" s="110"/>
      <c r="S24" s="110"/>
      <c r="T24" s="110"/>
      <c r="U24" s="110"/>
    </row>
    <row r="25" spans="1:21">
      <c r="A25" s="98"/>
      <c r="D25" s="104"/>
      <c r="F25" s="110"/>
      <c r="G25" s="110"/>
      <c r="H25" s="110"/>
      <c r="I25" s="110"/>
      <c r="J25" s="110"/>
      <c r="K25" s="110"/>
      <c r="L25" s="110"/>
      <c r="M25" s="110"/>
      <c r="N25" s="110"/>
      <c r="O25" s="110"/>
      <c r="P25" s="110"/>
      <c r="Q25" s="110"/>
      <c r="R25" s="110"/>
      <c r="S25" s="110"/>
      <c r="T25" s="110"/>
      <c r="U25" s="110"/>
    </row>
    <row r="26" spans="1:21">
      <c r="A26" s="108" t="s">
        <v>69</v>
      </c>
      <c r="B26" s="108"/>
      <c r="C26" s="108"/>
      <c r="D26" s="108"/>
      <c r="F26" s="110"/>
      <c r="G26" s="110"/>
      <c r="H26" s="110"/>
      <c r="I26" s="110"/>
      <c r="J26" s="110"/>
      <c r="K26" s="110"/>
      <c r="L26" s="110"/>
      <c r="M26" s="110"/>
      <c r="N26" s="110"/>
      <c r="O26" s="110"/>
      <c r="P26" s="110"/>
      <c r="Q26" s="110"/>
      <c r="R26" s="110"/>
      <c r="S26" s="110"/>
      <c r="T26" s="110"/>
      <c r="U26" s="110"/>
    </row>
    <row r="27" spans="1:21">
      <c r="A27" s="108" t="s">
        <v>16</v>
      </c>
      <c r="B27" s="108" t="s">
        <v>70</v>
      </c>
      <c r="C27" s="108" t="s">
        <v>71</v>
      </c>
      <c r="D27" s="178" t="s">
        <v>72</v>
      </c>
      <c r="F27" s="110"/>
      <c r="G27" s="110"/>
      <c r="H27" s="110"/>
      <c r="I27" s="110"/>
      <c r="J27" s="110"/>
      <c r="K27" s="110"/>
      <c r="L27" s="110"/>
      <c r="M27" s="110"/>
      <c r="N27" s="110"/>
      <c r="O27" s="110"/>
      <c r="P27" s="110"/>
      <c r="Q27" s="110"/>
      <c r="R27" s="110"/>
      <c r="S27" s="110"/>
      <c r="T27" s="110"/>
      <c r="U27" s="110"/>
    </row>
    <row r="28" ht="28.8" spans="1:21">
      <c r="A28" s="97" t="s">
        <v>42</v>
      </c>
      <c r="B28" s="179" t="s">
        <v>73</v>
      </c>
      <c r="C28" s="180" t="s">
        <v>74</v>
      </c>
      <c r="D28" s="179" t="s">
        <v>75</v>
      </c>
      <c r="F28" s="110"/>
      <c r="G28" s="110"/>
      <c r="H28" s="110"/>
      <c r="I28" s="110"/>
      <c r="J28" s="110"/>
      <c r="K28" s="110"/>
      <c r="L28" s="110"/>
      <c r="M28" s="110"/>
      <c r="N28" s="110"/>
      <c r="O28" s="110"/>
      <c r="P28" s="110"/>
      <c r="Q28" s="110"/>
      <c r="R28" s="110"/>
      <c r="S28" s="110"/>
      <c r="T28" s="110"/>
      <c r="U28" s="110"/>
    </row>
    <row r="29" ht="28.8" spans="1:21">
      <c r="A29" s="97" t="s">
        <v>45</v>
      </c>
      <c r="B29" s="181" t="s">
        <v>68</v>
      </c>
      <c r="C29" s="180" t="s">
        <v>74</v>
      </c>
      <c r="D29" s="179" t="s">
        <v>76</v>
      </c>
      <c r="F29" s="110"/>
      <c r="G29" s="110"/>
      <c r="H29" s="110"/>
      <c r="I29" s="110"/>
      <c r="J29" s="110"/>
      <c r="K29" s="110"/>
      <c r="L29" s="110"/>
      <c r="M29" s="110"/>
      <c r="N29" s="110"/>
      <c r="O29" s="110"/>
      <c r="P29" s="110"/>
      <c r="Q29" s="110"/>
      <c r="R29" s="110"/>
      <c r="S29" s="110"/>
      <c r="T29" s="110"/>
      <c r="U29" s="110"/>
    </row>
    <row r="30" spans="1:21">
      <c r="A30" s="98"/>
      <c r="B30" s="98"/>
      <c r="C30" s="127"/>
      <c r="F30" s="110"/>
      <c r="G30" s="110"/>
      <c r="H30" s="110"/>
      <c r="I30" s="110"/>
      <c r="J30" s="110"/>
      <c r="K30" s="110"/>
      <c r="L30" s="110"/>
      <c r="M30" s="110"/>
      <c r="N30" s="110"/>
      <c r="O30" s="110"/>
      <c r="P30" s="110"/>
      <c r="Q30" s="110"/>
      <c r="R30" s="110"/>
      <c r="S30" s="110"/>
      <c r="T30" s="110"/>
      <c r="U30" s="110"/>
    </row>
    <row r="31" spans="1:4">
      <c r="A31" s="96" t="s">
        <v>77</v>
      </c>
      <c r="B31" s="96"/>
      <c r="C31" s="96"/>
      <c r="D31" s="96"/>
    </row>
    <row r="32" spans="1:4">
      <c r="A32" s="98" t="s">
        <v>78</v>
      </c>
      <c r="B32" s="21" t="s">
        <v>79</v>
      </c>
      <c r="C32" s="98" t="s">
        <v>38</v>
      </c>
      <c r="D32" s="98" t="s">
        <v>80</v>
      </c>
    </row>
    <row r="33" spans="1:4">
      <c r="A33" s="98" t="s">
        <v>42</v>
      </c>
      <c r="B33" t="s">
        <v>81</v>
      </c>
      <c r="C33" s="109">
        <v>0.2</v>
      </c>
      <c r="D33" s="104">
        <f>C33*(Módulo1[[#Totals],[Valor]]+Submódulo2.1[[#Totals],[Valor]])</f>
        <v>238.411111111111</v>
      </c>
    </row>
    <row r="34" spans="1:4">
      <c r="A34" s="98" t="s">
        <v>45</v>
      </c>
      <c r="B34" t="s">
        <v>82</v>
      </c>
      <c r="C34" s="109">
        <v>0.025</v>
      </c>
      <c r="D34" s="104">
        <f>C34*(Módulo1[[#Totals],[Valor]]+Submódulo2.1[[#Totals],[Valor]])</f>
        <v>29.8013888888889</v>
      </c>
    </row>
    <row r="35" spans="1:4">
      <c r="A35" s="98" t="s">
        <v>48</v>
      </c>
      <c r="B35" t="s">
        <v>83</v>
      </c>
      <c r="C35" s="109">
        <f>Servente!G6</f>
        <v>0.03</v>
      </c>
      <c r="D35" s="104">
        <f>C35*(Módulo1[[#Totals],[Valor]]+Submódulo2.1[[#Totals],[Valor]])</f>
        <v>35.7616666666667</v>
      </c>
    </row>
    <row r="36" spans="1:4">
      <c r="A36" s="98" t="s">
        <v>50</v>
      </c>
      <c r="B36" t="s">
        <v>84</v>
      </c>
      <c r="C36" s="109">
        <v>0.015</v>
      </c>
      <c r="D36" s="104">
        <f>C36*(Módulo1[[#Totals],[Valor]]+Submódulo2.1[[#Totals],[Valor]])</f>
        <v>17.8808333333333</v>
      </c>
    </row>
    <row r="37" spans="1:4">
      <c r="A37" s="98" t="s">
        <v>53</v>
      </c>
      <c r="B37" t="s">
        <v>85</v>
      </c>
      <c r="C37" s="109">
        <v>0.01</v>
      </c>
      <c r="D37" s="104">
        <f>C37*(Módulo1[[#Totals],[Valor]]+Submódulo2.1[[#Totals],[Valor]])</f>
        <v>11.9205555555556</v>
      </c>
    </row>
    <row r="38" spans="1:4">
      <c r="A38" s="98" t="s">
        <v>55</v>
      </c>
      <c r="B38" t="s">
        <v>86</v>
      </c>
      <c r="C38" s="109">
        <v>0.006</v>
      </c>
      <c r="D38" s="104">
        <f>C38*(Módulo1[[#Totals],[Valor]]+Submódulo2.1[[#Totals],[Valor]])</f>
        <v>7.15233333333333</v>
      </c>
    </row>
    <row r="39" spans="1:4">
      <c r="A39" s="98" t="s">
        <v>87</v>
      </c>
      <c r="B39" t="s">
        <v>88</v>
      </c>
      <c r="C39" s="109">
        <v>0.002</v>
      </c>
      <c r="D39" s="104">
        <f>C39*(Módulo1[[#Totals],[Valor]]+Submódulo2.1[[#Totals],[Valor]])</f>
        <v>2.38411111111111</v>
      </c>
    </row>
    <row r="40" spans="1:4">
      <c r="A40" s="98" t="s">
        <v>89</v>
      </c>
      <c r="B40" t="s">
        <v>90</v>
      </c>
      <c r="C40" s="109">
        <v>0.08</v>
      </c>
      <c r="D40" s="104">
        <f>C40*(Módulo1[[#Totals],[Valor]]+Submódulo2.1[[#Totals],[Valor]])</f>
        <v>95.3644444444445</v>
      </c>
    </row>
    <row r="41" spans="1:4">
      <c r="A41" s="98" t="s">
        <v>58</v>
      </c>
      <c r="C41" s="115">
        <f>SUBTOTAL(109,Submódulo2.2[Percentual])</f>
        <v>0.368</v>
      </c>
      <c r="D41" s="104">
        <f>SUBTOTAL(109,Submódulo2.2[Valor ])</f>
        <v>438.676444444444</v>
      </c>
    </row>
    <row r="42" spans="1:4">
      <c r="A42" s="98"/>
      <c r="C42" s="115"/>
      <c r="D42" s="104"/>
    </row>
    <row r="43" spans="1:4">
      <c r="A43" s="108" t="s">
        <v>91</v>
      </c>
      <c r="B43" s="108"/>
      <c r="C43" s="108"/>
      <c r="D43" s="108"/>
    </row>
    <row r="44" spans="1:4">
      <c r="A44" s="108" t="s">
        <v>16</v>
      </c>
      <c r="B44" s="108" t="s">
        <v>70</v>
      </c>
      <c r="C44" s="108" t="s">
        <v>71</v>
      </c>
      <c r="D44" s="178" t="s">
        <v>72</v>
      </c>
    </row>
    <row r="45" spans="1:4">
      <c r="A45" s="97" t="s">
        <v>92</v>
      </c>
      <c r="B45" s="179" t="s">
        <v>79</v>
      </c>
      <c r="C45" s="179" t="s">
        <v>93</v>
      </c>
      <c r="D45" s="179" t="s">
        <v>94</v>
      </c>
    </row>
    <row r="47" spans="1:4">
      <c r="A47" s="96" t="s">
        <v>95</v>
      </c>
      <c r="B47" s="96"/>
      <c r="C47" s="96"/>
      <c r="D47" s="96"/>
    </row>
    <row r="48" spans="1:4">
      <c r="A48" s="98" t="s">
        <v>96</v>
      </c>
      <c r="B48" s="21" t="s">
        <v>97</v>
      </c>
      <c r="C48" s="98" t="s">
        <v>18</v>
      </c>
      <c r="D48" s="98" t="s">
        <v>19</v>
      </c>
    </row>
    <row r="49" spans="1:4">
      <c r="A49" s="98" t="s">
        <v>42</v>
      </c>
      <c r="B49" t="s">
        <v>98</v>
      </c>
      <c r="D49" s="104">
        <f>IF(G3=0,0,(Servente!G3*2*Servente!G5)-(6%*_1A))</f>
        <v>0</v>
      </c>
    </row>
    <row r="50" spans="1:4">
      <c r="A50" s="98" t="s">
        <v>45</v>
      </c>
      <c r="B50" t="s">
        <v>99</v>
      </c>
      <c r="D50" s="104">
        <f>(Servente!G4*Servente!G5)*80%</f>
        <v>211.2</v>
      </c>
    </row>
    <row r="51" spans="1:4">
      <c r="A51" s="98" t="s">
        <v>48</v>
      </c>
      <c r="B51" t="s">
        <v>100</v>
      </c>
      <c r="D51" s="104"/>
    </row>
    <row r="52" spans="1:4">
      <c r="A52" s="98" t="s">
        <v>50</v>
      </c>
      <c r="B52" t="s">
        <v>56</v>
      </c>
      <c r="D52" s="104"/>
    </row>
    <row r="53" spans="1:4">
      <c r="A53" s="98" t="s">
        <v>58</v>
      </c>
      <c r="D53" s="104">
        <v>211.2</v>
      </c>
    </row>
    <row r="54" spans="1:4">
      <c r="A54" s="98"/>
      <c r="D54" s="104"/>
    </row>
    <row r="55" spans="1:4">
      <c r="A55" s="108" t="s">
        <v>101</v>
      </c>
      <c r="B55" s="108"/>
      <c r="C55" s="108"/>
      <c r="D55" s="108"/>
    </row>
    <row r="56" spans="1:4">
      <c r="A56" s="108" t="s">
        <v>16</v>
      </c>
      <c r="B56" s="108" t="s">
        <v>70</v>
      </c>
      <c r="C56" s="108" t="s">
        <v>71</v>
      </c>
      <c r="D56" s="108" t="s">
        <v>72</v>
      </c>
    </row>
    <row r="57" ht="43.2" spans="1:4">
      <c r="A57" s="97" t="s">
        <v>42</v>
      </c>
      <c r="B57" s="179" t="s">
        <v>98</v>
      </c>
      <c r="C57" s="180" t="s">
        <v>102</v>
      </c>
      <c r="D57" s="180" t="s">
        <v>103</v>
      </c>
    </row>
    <row r="58" ht="28.8" spans="1:4">
      <c r="A58" s="97" t="s">
        <v>45</v>
      </c>
      <c r="B58" s="181" t="s">
        <v>99</v>
      </c>
      <c r="C58" s="180" t="s">
        <v>102</v>
      </c>
      <c r="D58" s="180" t="s">
        <v>104</v>
      </c>
    </row>
    <row r="59" ht="19.5" customHeight="1" spans="1:4">
      <c r="A59" s="98"/>
      <c r="D59" s="104"/>
    </row>
    <row r="60" spans="1:4">
      <c r="A60" s="96" t="s">
        <v>105</v>
      </c>
      <c r="B60" s="96"/>
      <c r="C60" s="96"/>
      <c r="D60" s="96"/>
    </row>
    <row r="61" spans="1:4">
      <c r="A61" s="98" t="s">
        <v>106</v>
      </c>
      <c r="B61" s="21" t="s">
        <v>107</v>
      </c>
      <c r="C61" s="98" t="s">
        <v>18</v>
      </c>
      <c r="D61" s="98" t="s">
        <v>19</v>
      </c>
    </row>
    <row r="62" spans="1:4">
      <c r="A62" s="98" t="s">
        <v>65</v>
      </c>
      <c r="B62" t="s">
        <v>66</v>
      </c>
      <c r="C62" s="98"/>
      <c r="D62" s="104">
        <f>Submódulo2.1[[#Totals],[Valor]]</f>
        <v>194.055555555556</v>
      </c>
    </row>
    <row r="63" spans="1:4">
      <c r="A63" s="98" t="s">
        <v>78</v>
      </c>
      <c r="B63" t="s">
        <v>79</v>
      </c>
      <c r="C63" s="98"/>
      <c r="D63" s="104">
        <f>Submódulo2.2[[#Totals],[Valor ]]</f>
        <v>438.676444444444</v>
      </c>
    </row>
    <row r="64" spans="1:4">
      <c r="A64" s="98" t="s">
        <v>96</v>
      </c>
      <c r="B64" t="s">
        <v>97</v>
      </c>
      <c r="C64" s="98"/>
      <c r="D64" s="104">
        <f>Submódulo2.3[[#Totals],[Valor]]</f>
        <v>211.2</v>
      </c>
    </row>
    <row r="65" spans="1:4">
      <c r="A65" s="98" t="s">
        <v>58</v>
      </c>
      <c r="C65" s="98"/>
      <c r="D65" s="104">
        <v>843.932</v>
      </c>
    </row>
    <row r="67" spans="1:4">
      <c r="A67" s="76" t="s">
        <v>108</v>
      </c>
      <c r="B67" s="76"/>
      <c r="C67" s="76"/>
      <c r="D67" s="76"/>
    </row>
    <row r="68" spans="1:4">
      <c r="A68" s="98" t="s">
        <v>109</v>
      </c>
      <c r="B68" s="21" t="s">
        <v>110</v>
      </c>
      <c r="C68" s="98" t="s">
        <v>18</v>
      </c>
      <c r="D68" s="98" t="s">
        <v>19</v>
      </c>
    </row>
    <row r="69" spans="1:4">
      <c r="A69" s="98" t="s">
        <v>42</v>
      </c>
      <c r="B69" t="s">
        <v>111</v>
      </c>
      <c r="D69" s="104">
        <f>((Módulo1[[#Totals],[Valor]]+D62+D64)/12)*Servente!G10</f>
        <v>50.715994537037</v>
      </c>
    </row>
    <row r="70" spans="1:4">
      <c r="A70" s="98" t="s">
        <v>45</v>
      </c>
      <c r="B70" t="s">
        <v>112</v>
      </c>
      <c r="D70" s="104">
        <f>(D40/12)*Servente!G10</f>
        <v>3.44662996296296</v>
      </c>
    </row>
    <row r="71" spans="1:4">
      <c r="A71" s="98" t="s">
        <v>48</v>
      </c>
      <c r="B71" t="s">
        <v>113</v>
      </c>
      <c r="D71" s="104">
        <f>D40*50%*Servente!G10</f>
        <v>20.6797797777778</v>
      </c>
    </row>
    <row r="72" spans="1:4">
      <c r="A72" s="98" t="s">
        <v>50</v>
      </c>
      <c r="B72" t="s">
        <v>114</v>
      </c>
      <c r="D72" s="104">
        <f>((Módulo1[[#Totals],[Valor]]+ResumoMódulo2[[#Totals],[Valor]])/12)*Servente!G11</f>
        <v>66.5704923666667</v>
      </c>
    </row>
    <row r="73" spans="1:4">
      <c r="A73" s="98" t="s">
        <v>53</v>
      </c>
      <c r="B73" t="s">
        <v>115</v>
      </c>
      <c r="D73" s="104">
        <f>D40*50%*Servente!G11</f>
        <v>20.6797797777778</v>
      </c>
    </row>
    <row r="74" spans="1:4">
      <c r="A74" s="98" t="s">
        <v>55</v>
      </c>
      <c r="B74" t="s">
        <v>116</v>
      </c>
      <c r="D74" s="104">
        <f>-D62*Servente!G12</f>
        <v>-4.23041111111111</v>
      </c>
    </row>
    <row r="75" spans="1:4">
      <c r="A75" s="98" t="s">
        <v>58</v>
      </c>
      <c r="D75" s="104">
        <f>SUBTOTAL(109,Módulo3[Valor])</f>
        <v>157.862265311111</v>
      </c>
    </row>
    <row r="76" spans="1:4">
      <c r="A76" s="98"/>
      <c r="D76" s="104"/>
    </row>
    <row r="77" spans="1:4">
      <c r="A77" s="108" t="s">
        <v>117</v>
      </c>
      <c r="B77" s="108"/>
      <c r="C77" s="108"/>
      <c r="D77" s="108"/>
    </row>
    <row r="78" spans="1:4">
      <c r="A78" s="108" t="s">
        <v>16</v>
      </c>
      <c r="B78" s="108" t="s">
        <v>70</v>
      </c>
      <c r="C78" s="108" t="s">
        <v>71</v>
      </c>
      <c r="D78" s="108" t="s">
        <v>72</v>
      </c>
    </row>
    <row r="79" ht="57.6" spans="1:4">
      <c r="A79" s="97" t="s">
        <v>42</v>
      </c>
      <c r="B79" s="179" t="s">
        <v>111</v>
      </c>
      <c r="C79" s="180" t="s">
        <v>118</v>
      </c>
      <c r="D79" s="180" t="s">
        <v>119</v>
      </c>
    </row>
    <row r="80" ht="57.6" spans="1:4">
      <c r="A80" s="97" t="s">
        <v>45</v>
      </c>
      <c r="B80" s="181" t="s">
        <v>112</v>
      </c>
      <c r="C80" s="180" t="s">
        <v>120</v>
      </c>
      <c r="D80" s="180" t="s">
        <v>119</v>
      </c>
    </row>
    <row r="81" ht="72" spans="1:4">
      <c r="A81" s="97" t="s">
        <v>48</v>
      </c>
      <c r="B81" s="181" t="s">
        <v>113</v>
      </c>
      <c r="C81" s="180" t="s">
        <v>120</v>
      </c>
      <c r="D81" s="182" t="s">
        <v>121</v>
      </c>
    </row>
    <row r="82" ht="57.6" spans="1:4">
      <c r="A82" s="97" t="s">
        <v>50</v>
      </c>
      <c r="B82" s="118" t="s">
        <v>114</v>
      </c>
      <c r="C82" s="180" t="s">
        <v>122</v>
      </c>
      <c r="D82" s="182" t="s">
        <v>123</v>
      </c>
    </row>
    <row r="83" ht="72" spans="1:4">
      <c r="A83" s="97" t="s">
        <v>53</v>
      </c>
      <c r="B83" s="118" t="s">
        <v>115</v>
      </c>
      <c r="C83" s="180" t="s">
        <v>120</v>
      </c>
      <c r="D83" s="182" t="s">
        <v>124</v>
      </c>
    </row>
    <row r="84" ht="57.6" spans="1:4">
      <c r="A84" s="97" t="s">
        <v>55</v>
      </c>
      <c r="B84" s="118" t="s">
        <v>116</v>
      </c>
      <c r="C84" s="180" t="s">
        <v>125</v>
      </c>
      <c r="D84" s="182" t="s">
        <v>126</v>
      </c>
    </row>
    <row r="86" ht="15" customHeight="1" spans="1:4">
      <c r="A86" s="125" t="s">
        <v>127</v>
      </c>
      <c r="B86" s="125"/>
      <c r="C86" s="125"/>
      <c r="D86" s="125"/>
    </row>
    <row r="87" spans="1:4">
      <c r="A87" s="96" t="s">
        <v>128</v>
      </c>
      <c r="B87" s="96"/>
      <c r="C87" s="96"/>
      <c r="D87" s="96"/>
    </row>
    <row r="88" spans="1:4">
      <c r="A88" s="98" t="s">
        <v>129</v>
      </c>
      <c r="B88" s="21" t="s">
        <v>130</v>
      </c>
      <c r="C88" s="98" t="s">
        <v>131</v>
      </c>
      <c r="D88" s="98" t="s">
        <v>19</v>
      </c>
    </row>
    <row r="89" spans="1:4">
      <c r="A89" s="98" t="s">
        <v>42</v>
      </c>
      <c r="B89" t="s">
        <v>132</v>
      </c>
      <c r="C89" s="98">
        <v>20.71</v>
      </c>
      <c r="D89" s="104">
        <f>(((Módulo1[[#Totals],[Valor]]+ResumoMódulo2[[#Totals],[Valor]]+Módulo3[[#Totals],[Valor]])/30)*C89)/12</f>
        <v>115.043720096092</v>
      </c>
    </row>
    <row r="90" spans="1:4">
      <c r="A90" s="98" t="s">
        <v>45</v>
      </c>
      <c r="B90" t="s">
        <v>133</v>
      </c>
      <c r="C90" s="98">
        <v>1.4181</v>
      </c>
      <c r="D90" s="104">
        <f>(((Módulo1[[#Totals],[Valor]]+ResumoMódulo2[[#Totals],[Valor]]+Módulo3[[#Totals],[Valor]])/30)*C90)/12</f>
        <v>7.87752291010468</v>
      </c>
    </row>
    <row r="91" spans="1:4">
      <c r="A91" s="98" t="s">
        <v>48</v>
      </c>
      <c r="B91" t="s">
        <v>134</v>
      </c>
      <c r="C91" s="98">
        <v>0.1898</v>
      </c>
      <c r="D91" s="104">
        <f>(((Módulo1[[#Totals],[Valor]]+ResumoMódulo2[[#Totals],[Valor]]+Módulo3[[#Totals],[Valor]])/30)*C91)/12</f>
        <v>1.05433597654458</v>
      </c>
    </row>
    <row r="92" spans="1:4">
      <c r="A92" s="98" t="s">
        <v>50</v>
      </c>
      <c r="B92" t="s">
        <v>135</v>
      </c>
      <c r="C92" s="98">
        <v>0.9545</v>
      </c>
      <c r="D92" s="104">
        <f>(((Módulo1[[#Totals],[Valor]]+ResumoMódulo2[[#Totals],[Valor]]+Módulo3[[#Totals],[Valor]])/30)*C92)/12</f>
        <v>5.3022322951096</v>
      </c>
    </row>
    <row r="93" spans="1:4">
      <c r="A93" s="98" t="s">
        <v>53</v>
      </c>
      <c r="B93" t="s">
        <v>136</v>
      </c>
      <c r="C93" s="98">
        <v>2.4723</v>
      </c>
      <c r="D93" s="104">
        <f>(((Módulo1[[#Totals],[Valor]]+ResumoMódulo2[[#Totals],[Valor]]+Módulo3[[#Totals],[Valor]])/30)*C93)/12</f>
        <v>13.7335871170241</v>
      </c>
    </row>
    <row r="94" spans="1:4">
      <c r="A94" s="98" t="s">
        <v>55</v>
      </c>
      <c r="B94" t="s">
        <v>137</v>
      </c>
      <c r="C94" s="98">
        <v>3.4521</v>
      </c>
      <c r="D94" s="104">
        <f>(((Módulo1[[#Totals],[Valor]]+ResumoMódulo2[[#Totals],[Valor]]+Módulo3[[#Totals],[Valor]])/30)*C94)/12</f>
        <v>19.1763605091125</v>
      </c>
    </row>
    <row r="95" spans="1:4">
      <c r="A95" s="98" t="s">
        <v>58</v>
      </c>
      <c r="C95" s="98">
        <f>SUBTOTAL(109,Submódulo4.1[Dias de ausência])</f>
        <v>29.1968</v>
      </c>
      <c r="D95" s="104">
        <f>SUBTOTAL(109,Submódulo4.1[Valor])</f>
        <v>162.187758903987</v>
      </c>
    </row>
    <row r="96" spans="1:4">
      <c r="A96" s="98"/>
      <c r="C96" s="98"/>
      <c r="D96" s="104"/>
    </row>
    <row r="97" spans="1:4">
      <c r="A97" s="108" t="s">
        <v>138</v>
      </c>
      <c r="B97" s="108"/>
      <c r="C97" s="108"/>
      <c r="D97" s="108"/>
    </row>
    <row r="98" spans="1:4">
      <c r="A98" s="108" t="s">
        <v>16</v>
      </c>
      <c r="B98" s="108" t="s">
        <v>70</v>
      </c>
      <c r="C98" s="108" t="s">
        <v>71</v>
      </c>
      <c r="D98" s="108" t="s">
        <v>72</v>
      </c>
    </row>
    <row r="99" spans="1:4">
      <c r="A99" s="97" t="s">
        <v>139</v>
      </c>
      <c r="B99" s="179" t="s">
        <v>140</v>
      </c>
      <c r="C99" s="180"/>
      <c r="D99" s="180"/>
    </row>
    <row r="100" ht="43.2" spans="1:4">
      <c r="A100" s="97" t="s">
        <v>139</v>
      </c>
      <c r="B100" s="181" t="s">
        <v>141</v>
      </c>
      <c r="C100" s="180" t="s">
        <v>142</v>
      </c>
      <c r="D100" s="180" t="s">
        <v>143</v>
      </c>
    </row>
    <row r="101" spans="1:4">
      <c r="A101" s="98"/>
      <c r="C101" s="98"/>
      <c r="D101" s="104"/>
    </row>
    <row r="102" spans="1:4">
      <c r="A102" s="96" t="s">
        <v>144</v>
      </c>
      <c r="B102" s="96"/>
      <c r="C102" s="96"/>
      <c r="D102" s="96"/>
    </row>
    <row r="103" spans="1:4">
      <c r="A103" s="98" t="s">
        <v>145</v>
      </c>
      <c r="B103" s="21" t="s">
        <v>146</v>
      </c>
      <c r="C103" s="98" t="s">
        <v>18</v>
      </c>
      <c r="D103" s="98" t="s">
        <v>19</v>
      </c>
    </row>
    <row r="104" spans="1:4">
      <c r="A104" s="98" t="s">
        <v>42</v>
      </c>
      <c r="B104" t="s">
        <v>147</v>
      </c>
      <c r="C104" s="98"/>
      <c r="D104" s="104"/>
    </row>
    <row r="105" spans="1:4">
      <c r="A105" s="98" t="s">
        <v>58</v>
      </c>
      <c r="C105" s="98"/>
      <c r="D105" s="104">
        <f>SUBTOTAL(109,Submódulo4.2[Valor])</f>
        <v>0</v>
      </c>
    </row>
    <row r="107" spans="1:4">
      <c r="A107" s="96" t="s">
        <v>148</v>
      </c>
      <c r="B107" s="96"/>
      <c r="C107" s="96"/>
      <c r="D107" s="96"/>
    </row>
    <row r="108" spans="1:4">
      <c r="A108" s="98" t="s">
        <v>149</v>
      </c>
      <c r="B108" s="21" t="s">
        <v>150</v>
      </c>
      <c r="C108" s="98" t="s">
        <v>18</v>
      </c>
      <c r="D108" s="98" t="s">
        <v>19</v>
      </c>
    </row>
    <row r="109" spans="1:4">
      <c r="A109" s="98" t="s">
        <v>129</v>
      </c>
      <c r="B109" t="s">
        <v>130</v>
      </c>
      <c r="D109" s="104">
        <f>Submódulo4.1[[#Totals],[Valor]]</f>
        <v>162.187758903987</v>
      </c>
    </row>
    <row r="110" spans="1:4">
      <c r="A110" s="98" t="s">
        <v>145</v>
      </c>
      <c r="B110" t="s">
        <v>151</v>
      </c>
      <c r="D110" s="104">
        <f>Submódulo4.2[[#Totals],[Valor]]</f>
        <v>0</v>
      </c>
    </row>
    <row r="111" spans="1:4">
      <c r="A111" s="98" t="s">
        <v>58</v>
      </c>
      <c r="D111" s="104">
        <f>SUBTOTAL(109,ResumoMódulo4[Valor])</f>
        <v>162.187758903987</v>
      </c>
    </row>
    <row r="113" spans="1:4">
      <c r="A113" s="76" t="s">
        <v>152</v>
      </c>
      <c r="B113" s="76"/>
      <c r="C113" s="76"/>
      <c r="D113" s="76"/>
    </row>
    <row r="114" spans="1:4">
      <c r="A114" s="98" t="s">
        <v>153</v>
      </c>
      <c r="B114" s="21" t="s">
        <v>154</v>
      </c>
      <c r="C114" s="98" t="s">
        <v>18</v>
      </c>
      <c r="D114" s="98" t="s">
        <v>19</v>
      </c>
    </row>
    <row r="115" spans="1:4">
      <c r="A115" s="98" t="s">
        <v>42</v>
      </c>
      <c r="B115" t="s">
        <v>155</v>
      </c>
      <c r="D115" s="104" t="e">
        <f>#REF!</f>
        <v>#REF!</v>
      </c>
    </row>
    <row r="116" spans="1:4">
      <c r="A116" s="98" t="s">
        <v>45</v>
      </c>
      <c r="B116" t="s">
        <v>156</v>
      </c>
      <c r="D116" s="104" t="e">
        <f>#REF!/#REF!</f>
        <v>#REF!</v>
      </c>
    </row>
    <row r="117" spans="1:4">
      <c r="A117" s="98" t="s">
        <v>48</v>
      </c>
      <c r="B117" t="s">
        <v>157</v>
      </c>
      <c r="D117" s="104" t="e">
        <f>#REF!/#REF!</f>
        <v>#REF!</v>
      </c>
    </row>
    <row r="118" spans="1:4">
      <c r="A118" s="98" t="s">
        <v>50</v>
      </c>
      <c r="B118" t="s">
        <v>158</v>
      </c>
      <c r="D118" s="104"/>
    </row>
    <row r="119" spans="1:4">
      <c r="A119" s="98" t="s">
        <v>58</v>
      </c>
      <c r="D119" s="104" t="e">
        <f>SUBTOTAL(109,Módulo5[Valor])</f>
        <v>#REF!</v>
      </c>
    </row>
    <row r="120" spans="1:4">
      <c r="A120" s="98"/>
      <c r="D120" s="104"/>
    </row>
    <row r="121" spans="1:4">
      <c r="A121" s="108" t="s">
        <v>159</v>
      </c>
      <c r="B121" s="108"/>
      <c r="C121" s="108"/>
      <c r="D121" s="108"/>
    </row>
    <row r="122" spans="1:4">
      <c r="A122" s="108" t="s">
        <v>16</v>
      </c>
      <c r="B122" s="108" t="s">
        <v>70</v>
      </c>
      <c r="C122" s="108" t="s">
        <v>71</v>
      </c>
      <c r="D122" s="108" t="s">
        <v>72</v>
      </c>
    </row>
    <row r="123" spans="1:4">
      <c r="A123" s="97" t="s">
        <v>42</v>
      </c>
      <c r="B123" s="179" t="s">
        <v>155</v>
      </c>
      <c r="C123" s="180" t="s">
        <v>160</v>
      </c>
      <c r="D123" s="180"/>
    </row>
    <row r="124" ht="28.8" spans="1:4">
      <c r="A124" s="97" t="s">
        <v>45</v>
      </c>
      <c r="B124" s="181" t="s">
        <v>156</v>
      </c>
      <c r="C124" s="180" t="s">
        <v>161</v>
      </c>
      <c r="D124" s="180" t="s">
        <v>162</v>
      </c>
    </row>
    <row r="125" ht="28.8" spans="1:4">
      <c r="A125" s="97" t="s">
        <v>48</v>
      </c>
      <c r="B125" s="181" t="s">
        <v>157</v>
      </c>
      <c r="C125" s="180" t="s">
        <v>163</v>
      </c>
      <c r="D125" s="180" t="s">
        <v>162</v>
      </c>
    </row>
    <row r="126" spans="1:4">
      <c r="A126" s="97" t="s">
        <v>50</v>
      </c>
      <c r="B126" s="181" t="s">
        <v>158</v>
      </c>
      <c r="C126" s="180"/>
      <c r="D126" s="180"/>
    </row>
    <row r="128" spans="1:4">
      <c r="A128" s="76" t="s">
        <v>164</v>
      </c>
      <c r="B128" s="76"/>
      <c r="C128" s="76"/>
      <c r="D128" s="76"/>
    </row>
    <row r="129" outlineLevel="1" spans="1:4">
      <c r="A129" s="98" t="s">
        <v>165</v>
      </c>
      <c r="B129" t="s">
        <v>166</v>
      </c>
      <c r="C129" s="98" t="s">
        <v>38</v>
      </c>
      <c r="D129" s="98" t="s">
        <v>19</v>
      </c>
    </row>
    <row r="130" outlineLevel="1" spans="1:4">
      <c r="A130" s="98" t="s">
        <v>42</v>
      </c>
      <c r="B130" t="s">
        <v>167</v>
      </c>
      <c r="C130" s="109">
        <f>G16</f>
        <v>0.0471</v>
      </c>
      <c r="D130" s="104" t="e">
        <f>Módulo6[[#This Row],[Percentual]]*(D141+D142+D143+D144+D145)</f>
        <v>#REF!</v>
      </c>
    </row>
    <row r="131" outlineLevel="1" spans="1:4">
      <c r="A131" s="98" t="s">
        <v>45</v>
      </c>
      <c r="B131" t="s">
        <v>59</v>
      </c>
      <c r="C131" s="109">
        <f>G17</f>
        <v>0.0467</v>
      </c>
      <c r="D131" s="104" t="e">
        <f>(SUM(D141:D145)+D130)*Módulo6[[#This Row],[Percentual]]</f>
        <v>#REF!</v>
      </c>
    </row>
    <row r="132" spans="1:4">
      <c r="A132" s="98" t="s">
        <v>48</v>
      </c>
      <c r="B132" t="s">
        <v>168</v>
      </c>
      <c r="C132" s="109">
        <f>SUM(C133:C135)</f>
        <v>0.1425</v>
      </c>
      <c r="D132" s="104" t="e">
        <f>Módulo6[[#This Row],[Percentual]]*D148</f>
        <v>#REF!</v>
      </c>
    </row>
    <row r="133" spans="1:4">
      <c r="A133" s="98" t="s">
        <v>169</v>
      </c>
      <c r="B133" t="s">
        <v>60</v>
      </c>
      <c r="C133" s="109">
        <f>G18</f>
        <v>0.0165</v>
      </c>
      <c r="D133" s="104" t="e">
        <f>Módulo6[[#This Row],[Percentual]]*D148</f>
        <v>#REF!</v>
      </c>
    </row>
    <row r="134" spans="1:4">
      <c r="A134" s="98" t="s">
        <v>170</v>
      </c>
      <c r="B134" t="s">
        <v>62</v>
      </c>
      <c r="C134" s="109">
        <f>G19</f>
        <v>0.076</v>
      </c>
      <c r="D134" s="104" t="e">
        <f>Módulo6[[#This Row],[Percentual]]*D148</f>
        <v>#REF!</v>
      </c>
    </row>
    <row r="135" spans="1:4">
      <c r="A135" s="98" t="s">
        <v>171</v>
      </c>
      <c r="B135" t="s">
        <v>64</v>
      </c>
      <c r="C135" s="109">
        <f>G20</f>
        <v>0.05</v>
      </c>
      <c r="D135" s="104" t="e">
        <f>Módulo6[[#This Row],[Percentual]]*D148</f>
        <v>#REF!</v>
      </c>
    </row>
    <row r="136" spans="1:4">
      <c r="A136" s="98" t="s">
        <v>58</v>
      </c>
      <c r="C136" s="151"/>
      <c r="D136" s="104" t="e">
        <f>SUM(D130:D132)</f>
        <v>#REF!</v>
      </c>
    </row>
    <row r="137" spans="1:4">
      <c r="A137" s="98"/>
      <c r="C137" s="151"/>
      <c r="D137" s="104"/>
    </row>
    <row r="139" spans="1:4">
      <c r="A139" s="76" t="s">
        <v>172</v>
      </c>
      <c r="B139" s="76"/>
      <c r="C139" s="76"/>
      <c r="D139" s="76"/>
    </row>
    <row r="140" spans="1:4">
      <c r="A140" s="98" t="s">
        <v>16</v>
      </c>
      <c r="B140" s="98" t="s">
        <v>173</v>
      </c>
      <c r="C140" s="98" t="s">
        <v>102</v>
      </c>
      <c r="D140" s="98" t="s">
        <v>19</v>
      </c>
    </row>
    <row r="141" spans="1:4">
      <c r="A141" s="98" t="s">
        <v>42</v>
      </c>
      <c r="B141" t="s">
        <v>36</v>
      </c>
      <c r="D141" s="104">
        <f>Módulo1[[#Totals],[Valor]]</f>
        <v>998</v>
      </c>
    </row>
    <row r="142" spans="1:4">
      <c r="A142" s="98" t="s">
        <v>45</v>
      </c>
      <c r="B142" t="s">
        <v>61</v>
      </c>
      <c r="D142" s="104">
        <f>ResumoMódulo2[[#Totals],[Valor]]</f>
        <v>843.932</v>
      </c>
    </row>
    <row r="143" spans="1:4">
      <c r="A143" s="98" t="s">
        <v>48</v>
      </c>
      <c r="B143" t="s">
        <v>108</v>
      </c>
      <c r="D143" s="104">
        <f>Módulo3[[#Totals],[Valor]]</f>
        <v>157.862265311111</v>
      </c>
    </row>
    <row r="144" spans="1:4">
      <c r="A144" s="98" t="s">
        <v>50</v>
      </c>
      <c r="B144" t="s">
        <v>174</v>
      </c>
      <c r="D144" s="104">
        <f>ResumoMódulo4[[#Totals],[Valor]]</f>
        <v>162.187758903987</v>
      </c>
    </row>
    <row r="145" spans="1:4">
      <c r="A145" s="98" t="s">
        <v>53</v>
      </c>
      <c r="B145" t="s">
        <v>152</v>
      </c>
      <c r="D145" s="104" t="e">
        <f>Módulo5[[#Totals],[Valor]]</f>
        <v>#REF!</v>
      </c>
    </row>
    <row r="146" spans="1:4">
      <c r="A146" t="s">
        <v>175</v>
      </c>
      <c r="D146" s="104" t="e">
        <f>SUM(D141:D145)</f>
        <v>#REF!</v>
      </c>
    </row>
    <row r="147" spans="1:4">
      <c r="A147" s="98" t="s">
        <v>55</v>
      </c>
      <c r="B147" t="s">
        <v>164</v>
      </c>
      <c r="D147" s="104" t="e">
        <f>Módulo6[[#Totals],[Valor]]</f>
        <v>#REF!</v>
      </c>
    </row>
    <row r="148" spans="1:4">
      <c r="A148" s="155" t="s">
        <v>176</v>
      </c>
      <c r="B148" s="155"/>
      <c r="C148" s="155"/>
      <c r="D148" s="183" t="e">
        <f>(SUM(D141:D145)+D130+D131)/(100%-C132)</f>
        <v>#REF!</v>
      </c>
    </row>
  </sheetData>
  <mergeCells count="24">
    <mergeCell ref="A1:D1"/>
    <mergeCell ref="F1:G1"/>
    <mergeCell ref="F8:G8"/>
    <mergeCell ref="A9:D9"/>
    <mergeCell ref="F14:G14"/>
    <mergeCell ref="A19:D19"/>
    <mergeCell ref="A20:D20"/>
    <mergeCell ref="A26:D26"/>
    <mergeCell ref="A31:D31"/>
    <mergeCell ref="A43:D43"/>
    <mergeCell ref="A47:D47"/>
    <mergeCell ref="A55:D55"/>
    <mergeCell ref="A60:D60"/>
    <mergeCell ref="A67:D67"/>
    <mergeCell ref="A77:D77"/>
    <mergeCell ref="A86:D86"/>
    <mergeCell ref="A87:D87"/>
    <mergeCell ref="A97:D97"/>
    <mergeCell ref="A102:D102"/>
    <mergeCell ref="A107:D107"/>
    <mergeCell ref="A113:D113"/>
    <mergeCell ref="A121:D121"/>
    <mergeCell ref="A128:D128"/>
    <mergeCell ref="A139:D139"/>
  </mergeCells>
  <pageMargins left="0.7" right="0.7" top="0.75" bottom="0.75" header="0.511805555555555" footer="0.511805555555555"/>
  <pageSetup paperSize="9" scale="43" firstPageNumber="0" fitToHeight="0" orientation="portrait" useFirstPageNumber="1" horizontalDpi="300" verticalDpi="300"/>
  <headerFooter/>
  <legacyDrawing r:id="rId2"/>
  <tableParts count="2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148"/>
  <sheetViews>
    <sheetView topLeftCell="A15" workbookViewId="0">
      <selection activeCell="F4" sqref="F4"/>
    </sheetView>
  </sheetViews>
  <sheetFormatPr defaultColWidth="9.13888888888889" defaultRowHeight="14.4"/>
  <cols>
    <col min="1" max="1" width="12" style="158" customWidth="1"/>
    <col min="2" max="2" width="52.6944444444444" customWidth="1"/>
    <col min="3" max="3" width="36" customWidth="1"/>
    <col min="4" max="4" width="38.1388888888889" customWidth="1"/>
    <col min="6" max="6" width="22.8611111111111" customWidth="1"/>
    <col min="7" max="7" width="11.4259259259259" customWidth="1"/>
    <col min="9" max="9" width="11.4259259259259" customWidth="1"/>
  </cols>
  <sheetData>
    <row r="2" ht="18.75" spans="1:4">
      <c r="A2" s="66" t="s">
        <v>177</v>
      </c>
      <c r="B2" s="67"/>
      <c r="C2" s="67"/>
      <c r="D2" s="67"/>
    </row>
    <row r="3" ht="15.15" spans="1:4">
      <c r="A3" s="159" t="s">
        <v>178</v>
      </c>
      <c r="B3" s="160"/>
      <c r="C3" s="160"/>
      <c r="D3" s="160"/>
    </row>
    <row r="4" spans="1:4">
      <c r="A4" s="161" t="s">
        <v>179</v>
      </c>
      <c r="B4" s="71" t="s">
        <v>180</v>
      </c>
      <c r="C4" s="72"/>
      <c r="D4" s="72"/>
    </row>
    <row r="5" spans="1:4">
      <c r="A5" s="162"/>
      <c r="B5" s="74"/>
      <c r="C5" s="74"/>
      <c r="D5" s="74"/>
    </row>
    <row r="6" ht="15.15" spans="1:4">
      <c r="A6" s="75" t="s">
        <v>181</v>
      </c>
      <c r="B6" s="76"/>
      <c r="C6" s="76"/>
      <c r="D6" s="76"/>
    </row>
    <row r="7" ht="15.15" spans="1:4">
      <c r="A7" s="77" t="s">
        <v>42</v>
      </c>
      <c r="B7" s="78" t="s">
        <v>182</v>
      </c>
      <c r="C7" s="79" t="s">
        <v>183</v>
      </c>
      <c r="D7" s="79"/>
    </row>
    <row r="8" spans="1:4">
      <c r="A8" s="80" t="s">
        <v>45</v>
      </c>
      <c r="B8" s="81" t="s">
        <v>184</v>
      </c>
      <c r="C8" s="82" t="s">
        <v>185</v>
      </c>
      <c r="D8" s="82"/>
    </row>
    <row r="9" spans="1:4">
      <c r="A9" s="83" t="s">
        <v>48</v>
      </c>
      <c r="B9" s="84" t="s">
        <v>186</v>
      </c>
      <c r="C9" s="82" t="s">
        <v>187</v>
      </c>
      <c r="D9" s="82"/>
    </row>
    <row r="10" spans="1:4">
      <c r="A10" s="80" t="s">
        <v>53</v>
      </c>
      <c r="B10" s="81" t="s">
        <v>188</v>
      </c>
      <c r="C10" s="82" t="s">
        <v>189</v>
      </c>
      <c r="D10" s="82"/>
    </row>
    <row r="11" ht="15.15" spans="1:4">
      <c r="A11" s="85" t="s">
        <v>190</v>
      </c>
      <c r="B11" s="86"/>
      <c r="C11" s="86"/>
      <c r="D11" s="86"/>
    </row>
    <row r="12" ht="15.9" spans="1:4">
      <c r="A12" s="87" t="s">
        <v>191</v>
      </c>
      <c r="B12" s="88"/>
      <c r="C12" s="86" t="s">
        <v>192</v>
      </c>
      <c r="D12" s="89" t="s">
        <v>193</v>
      </c>
    </row>
    <row r="13" ht="15.15" spans="1:4">
      <c r="A13" s="90" t="s">
        <v>194</v>
      </c>
      <c r="B13" s="91"/>
      <c r="C13" s="82" t="s">
        <v>195</v>
      </c>
      <c r="D13" s="92">
        <f>RESUMO!D3</f>
        <v>2</v>
      </c>
    </row>
    <row r="14" spans="1:4">
      <c r="A14" s="93"/>
      <c r="B14" s="94"/>
      <c r="C14" s="82"/>
      <c r="D14" s="95"/>
    </row>
    <row r="15" ht="15.15" spans="1:7">
      <c r="A15" s="85" t="s">
        <v>14</v>
      </c>
      <c r="B15" s="86"/>
      <c r="C15" s="86"/>
      <c r="D15" s="86"/>
      <c r="F15" s="96"/>
      <c r="G15" s="96"/>
    </row>
    <row r="16" ht="15.15" spans="1:4">
      <c r="A16" s="97" t="s">
        <v>16</v>
      </c>
      <c r="B16" t="s">
        <v>17</v>
      </c>
      <c r="C16" s="98" t="s">
        <v>18</v>
      </c>
      <c r="D16" s="98" t="s">
        <v>19</v>
      </c>
    </row>
    <row r="17" spans="1:4">
      <c r="A17" s="97">
        <v>1</v>
      </c>
      <c r="B17" t="s">
        <v>20</v>
      </c>
      <c r="C17" s="99" t="s">
        <v>102</v>
      </c>
      <c r="D17" s="99" t="str">
        <f>A13</f>
        <v>Eletricista</v>
      </c>
    </row>
    <row r="18" spans="1:4">
      <c r="A18" s="97">
        <v>2</v>
      </c>
      <c r="B18" t="s">
        <v>23</v>
      </c>
      <c r="C18" s="99" t="s">
        <v>196</v>
      </c>
      <c r="D18" s="99" t="s">
        <v>197</v>
      </c>
    </row>
    <row r="19" spans="1:4">
      <c r="A19" s="97">
        <v>3</v>
      </c>
      <c r="B19" t="s">
        <v>26</v>
      </c>
      <c r="C19" s="99" t="str">
        <f>C9</f>
        <v>CCT PB000517/2021</v>
      </c>
      <c r="D19" s="100">
        <v>1619.68</v>
      </c>
    </row>
    <row r="20" spans="1:4">
      <c r="A20" s="97">
        <v>4</v>
      </c>
      <c r="B20" t="s">
        <v>29</v>
      </c>
      <c r="C20" s="99" t="str">
        <f>C9</f>
        <v>CCT PB000517/2021</v>
      </c>
      <c r="D20" s="101" t="s">
        <v>198</v>
      </c>
    </row>
    <row r="21" spans="1:4">
      <c r="A21" s="97">
        <v>5</v>
      </c>
      <c r="B21" t="s">
        <v>33</v>
      </c>
      <c r="C21" s="99" t="str">
        <f>C9</f>
        <v>CCT PB000517/2021</v>
      </c>
      <c r="D21" s="102" t="s">
        <v>199</v>
      </c>
    </row>
    <row r="22" spans="6:7">
      <c r="F22" s="96"/>
      <c r="G22" s="96"/>
    </row>
    <row r="23" spans="1:4">
      <c r="A23" s="75" t="s">
        <v>36</v>
      </c>
      <c r="B23" s="76"/>
      <c r="C23" s="76"/>
      <c r="D23" s="76"/>
    </row>
    <row r="24" spans="1:7">
      <c r="A24" s="97" t="s">
        <v>39</v>
      </c>
      <c r="B24" s="21" t="s">
        <v>40</v>
      </c>
      <c r="C24" s="98" t="s">
        <v>18</v>
      </c>
      <c r="D24" s="98" t="s">
        <v>19</v>
      </c>
      <c r="G24" s="103"/>
    </row>
    <row r="25" spans="1:7">
      <c r="A25" s="97" t="s">
        <v>42</v>
      </c>
      <c r="B25" t="s">
        <v>43</v>
      </c>
      <c r="C25" s="101" t="s">
        <v>200</v>
      </c>
      <c r="D25" s="100">
        <f>D19</f>
        <v>1619.68</v>
      </c>
      <c r="G25" s="103"/>
    </row>
    <row r="26" spans="1:7">
      <c r="A26" s="97" t="s">
        <v>45</v>
      </c>
      <c r="B26" t="s">
        <v>46</v>
      </c>
      <c r="C26" s="101" t="s">
        <v>201</v>
      </c>
      <c r="D26" s="117">
        <f>TRUNC((D25*30%),2)</f>
        <v>485.9</v>
      </c>
      <c r="G26" s="103"/>
    </row>
    <row r="27" spans="1:4">
      <c r="A27" s="97" t="s">
        <v>48</v>
      </c>
      <c r="B27" t="s">
        <v>49</v>
      </c>
      <c r="C27" s="101"/>
      <c r="D27" s="100">
        <v>0</v>
      </c>
    </row>
    <row r="28" spans="1:4">
      <c r="A28" s="97" t="s">
        <v>50</v>
      </c>
      <c r="B28" t="s">
        <v>51</v>
      </c>
      <c r="C28" s="101"/>
      <c r="D28" s="100">
        <v>0</v>
      </c>
    </row>
    <row r="29" spans="1:4">
      <c r="A29" s="97" t="s">
        <v>53</v>
      </c>
      <c r="B29" t="s">
        <v>54</v>
      </c>
      <c r="C29" s="101"/>
      <c r="D29" s="100">
        <v>0</v>
      </c>
    </row>
    <row r="30" spans="1:4">
      <c r="A30" s="97" t="s">
        <v>55</v>
      </c>
      <c r="B30" t="s">
        <v>56</v>
      </c>
      <c r="C30" s="101"/>
      <c r="D30" s="100">
        <v>0</v>
      </c>
    </row>
    <row r="31" spans="1:7">
      <c r="A31" s="97" t="s">
        <v>58</v>
      </c>
      <c r="C31" s="98"/>
      <c r="D31" s="104">
        <f>TRUNC(SUM(D25:D30),2)</f>
        <v>2105.58</v>
      </c>
      <c r="F31" s="96"/>
      <c r="G31" s="96"/>
    </row>
    <row r="33" spans="1:7">
      <c r="A33" s="106" t="s">
        <v>61</v>
      </c>
      <c r="B33" s="107"/>
      <c r="C33" s="107"/>
      <c r="D33" s="107"/>
      <c r="G33" s="103"/>
    </row>
    <row r="35" spans="1:4">
      <c r="A35" s="108" t="s">
        <v>63</v>
      </c>
      <c r="B35" s="96"/>
      <c r="C35" s="96"/>
      <c r="D35" s="96"/>
    </row>
    <row r="36" spans="1:4">
      <c r="A36" s="97" t="s">
        <v>65</v>
      </c>
      <c r="B36" s="21" t="s">
        <v>66</v>
      </c>
      <c r="C36" s="98" t="s">
        <v>38</v>
      </c>
      <c r="D36" s="98" t="s">
        <v>19</v>
      </c>
    </row>
    <row r="37" spans="1:7">
      <c r="A37" s="97" t="s">
        <v>42</v>
      </c>
      <c r="B37" t="s">
        <v>67</v>
      </c>
      <c r="C37" s="109">
        <f>(1/12)</f>
        <v>0.0833333333333333</v>
      </c>
      <c r="D37" s="104">
        <f>TRUNC($D$31*C37,2)</f>
        <v>175.46</v>
      </c>
      <c r="F37" s="110"/>
      <c r="G37" s="110"/>
    </row>
    <row r="38" spans="1:7">
      <c r="A38" s="97" t="s">
        <v>45</v>
      </c>
      <c r="B38" t="s">
        <v>68</v>
      </c>
      <c r="C38" s="109">
        <f>(((1+1/3)/12))</f>
        <v>0.111111111111111</v>
      </c>
      <c r="D38" s="104">
        <f>TRUNC($D$31*C38,2)</f>
        <v>233.95</v>
      </c>
      <c r="F38" s="110"/>
      <c r="G38" s="110"/>
    </row>
    <row r="39" spans="1:7">
      <c r="A39" s="97" t="s">
        <v>58</v>
      </c>
      <c r="D39" s="104">
        <f>TRUNC((SUM(D37:D38)),2)</f>
        <v>409.41</v>
      </c>
      <c r="F39" s="110"/>
      <c r="G39" s="110"/>
    </row>
    <row r="40" ht="15.15" spans="4:7">
      <c r="D40" s="104"/>
      <c r="F40" s="110"/>
      <c r="G40" s="110"/>
    </row>
    <row r="41" ht="15.9" spans="1:7">
      <c r="A41" s="106" t="s">
        <v>202</v>
      </c>
      <c r="B41" s="106"/>
      <c r="C41" s="111" t="s">
        <v>203</v>
      </c>
      <c r="D41" s="112">
        <f>D31</f>
        <v>2105.58</v>
      </c>
      <c r="F41" s="110"/>
      <c r="G41" s="110"/>
    </row>
    <row r="42" ht="15.9" spans="1:7">
      <c r="A42" s="106"/>
      <c r="B42" s="106"/>
      <c r="C42" s="113" t="s">
        <v>204</v>
      </c>
      <c r="D42" s="112">
        <f>D39</f>
        <v>409.41</v>
      </c>
      <c r="F42" s="110"/>
      <c r="G42" s="110"/>
    </row>
    <row r="43" ht="15.9" spans="1:7">
      <c r="A43" s="106"/>
      <c r="B43" s="106"/>
      <c r="C43" s="111" t="s">
        <v>205</v>
      </c>
      <c r="D43" s="114">
        <f>TRUNC((SUM(D41:D42)),2)</f>
        <v>2514.99</v>
      </c>
      <c r="F43" s="110"/>
      <c r="G43" s="110"/>
    </row>
    <row r="44" ht="15.15" spans="1:7">
      <c r="A44" s="97"/>
      <c r="C44" s="115"/>
      <c r="D44" s="104"/>
      <c r="F44" s="110"/>
      <c r="G44" s="110"/>
    </row>
    <row r="45" spans="1:4">
      <c r="A45" s="108" t="s">
        <v>77</v>
      </c>
      <c r="B45" s="96"/>
      <c r="C45" s="96"/>
      <c r="D45" s="96"/>
    </row>
    <row r="46" spans="1:4">
      <c r="A46" s="97" t="s">
        <v>78</v>
      </c>
      <c r="B46" s="21" t="s">
        <v>79</v>
      </c>
      <c r="C46" s="98" t="s">
        <v>38</v>
      </c>
      <c r="D46" s="98" t="s">
        <v>80</v>
      </c>
    </row>
    <row r="47" spans="1:4">
      <c r="A47" s="97" t="s">
        <v>42</v>
      </c>
      <c r="B47" t="s">
        <v>81</v>
      </c>
      <c r="C47" s="109">
        <v>0.2</v>
      </c>
      <c r="D47" s="104">
        <f t="shared" ref="D47:D54" si="0">TRUNC(($D$43*C47),2)</f>
        <v>502.99</v>
      </c>
    </row>
    <row r="48" spans="1:4">
      <c r="A48" s="97" t="s">
        <v>45</v>
      </c>
      <c r="B48" t="s">
        <v>82</v>
      </c>
      <c r="C48" s="109">
        <v>0.025</v>
      </c>
      <c r="D48" s="104">
        <f t="shared" si="0"/>
        <v>62.87</v>
      </c>
    </row>
    <row r="49" spans="1:4">
      <c r="A49" s="97" t="s">
        <v>48</v>
      </c>
      <c r="B49" t="s">
        <v>206</v>
      </c>
      <c r="C49" s="116">
        <v>0.06</v>
      </c>
      <c r="D49" s="100">
        <f t="shared" si="0"/>
        <v>150.89</v>
      </c>
    </row>
    <row r="50" spans="1:4">
      <c r="A50" s="97" t="s">
        <v>50</v>
      </c>
      <c r="B50" t="s">
        <v>84</v>
      </c>
      <c r="C50" s="109">
        <v>0.015</v>
      </c>
      <c r="D50" s="104">
        <f t="shared" si="0"/>
        <v>37.72</v>
      </c>
    </row>
    <row r="51" spans="1:4">
      <c r="A51" s="97" t="s">
        <v>53</v>
      </c>
      <c r="B51" t="s">
        <v>85</v>
      </c>
      <c r="C51" s="109">
        <v>0.01</v>
      </c>
      <c r="D51" s="104">
        <f t="shared" si="0"/>
        <v>25.14</v>
      </c>
    </row>
    <row r="52" spans="1:4">
      <c r="A52" s="97" t="s">
        <v>55</v>
      </c>
      <c r="B52" t="s">
        <v>86</v>
      </c>
      <c r="C52" s="109">
        <v>0.006</v>
      </c>
      <c r="D52" s="104">
        <f t="shared" si="0"/>
        <v>15.08</v>
      </c>
    </row>
    <row r="53" spans="1:4">
      <c r="A53" s="97" t="s">
        <v>87</v>
      </c>
      <c r="B53" t="s">
        <v>88</v>
      </c>
      <c r="C53" s="109">
        <v>0.002</v>
      </c>
      <c r="D53" s="104">
        <f t="shared" si="0"/>
        <v>5.02</v>
      </c>
    </row>
    <row r="54" spans="1:4">
      <c r="A54" s="97" t="s">
        <v>89</v>
      </c>
      <c r="B54" t="s">
        <v>90</v>
      </c>
      <c r="C54" s="109">
        <v>0.08</v>
      </c>
      <c r="D54" s="104">
        <f t="shared" si="0"/>
        <v>201.19</v>
      </c>
    </row>
    <row r="55" spans="1:4">
      <c r="A55" s="97" t="s">
        <v>58</v>
      </c>
      <c r="C55" s="115">
        <f>SUM(C47:C54)</f>
        <v>0.398</v>
      </c>
      <c r="D55" s="104">
        <f>TRUNC((SUM(D47:D54)),2)</f>
        <v>1000.9</v>
      </c>
    </row>
    <row r="56" spans="1:4">
      <c r="A56" s="97"/>
      <c r="C56" s="115"/>
      <c r="D56" s="104"/>
    </row>
    <row r="57" spans="1:4">
      <c r="A57" s="108" t="s">
        <v>95</v>
      </c>
      <c r="B57" s="96"/>
      <c r="C57" s="96"/>
      <c r="D57" s="96"/>
    </row>
    <row r="58" spans="1:4">
      <c r="A58" s="97" t="s">
        <v>96</v>
      </c>
      <c r="B58" s="21" t="s">
        <v>97</v>
      </c>
      <c r="C58" s="98" t="s">
        <v>18</v>
      </c>
      <c r="D58" s="98" t="s">
        <v>19</v>
      </c>
    </row>
    <row r="59" spans="1:4">
      <c r="A59" s="97" t="s">
        <v>42</v>
      </c>
      <c r="B59" t="s">
        <v>98</v>
      </c>
      <c r="C59" s="99"/>
      <c r="D59" s="117">
        <f>TRUNC(((22*4.4)*2)-((D25/100)*6),2)</f>
        <v>96.41</v>
      </c>
    </row>
    <row r="60" spans="1:4">
      <c r="A60" s="97" t="s">
        <v>45</v>
      </c>
      <c r="B60" t="s">
        <v>99</v>
      </c>
      <c r="C60" s="99" t="str">
        <f>C9</f>
        <v>CCT PB000517/2021</v>
      </c>
      <c r="D60" s="100">
        <f>TRUNC((((22*20.91))-(((22*20.91))*0.2)),2)</f>
        <v>368.01</v>
      </c>
    </row>
    <row r="61" spans="1:4">
      <c r="A61" s="97" t="s">
        <v>48</v>
      </c>
      <c r="B61" t="s">
        <v>100</v>
      </c>
      <c r="C61" s="99"/>
      <c r="D61" s="100">
        <v>0</v>
      </c>
    </row>
    <row r="62" spans="1:6">
      <c r="A62" s="97" t="s">
        <v>50</v>
      </c>
      <c r="B62" s="118" t="s">
        <v>207</v>
      </c>
      <c r="C62" s="119"/>
      <c r="D62" s="119">
        <v>0</v>
      </c>
      <c r="F62" s="118"/>
    </row>
    <row r="63" spans="1:4">
      <c r="A63" s="97" t="s">
        <v>53</v>
      </c>
      <c r="B63" s="21" t="s">
        <v>208</v>
      </c>
      <c r="C63" s="99" t="str">
        <f>C60</f>
        <v>CCT PB000517/2021</v>
      </c>
      <c r="D63" s="100">
        <v>20</v>
      </c>
    </row>
    <row r="64" spans="1:4">
      <c r="A64" s="97" t="s">
        <v>55</v>
      </c>
      <c r="B64" s="120" t="s">
        <v>209</v>
      </c>
      <c r="C64" s="99" t="str">
        <f>C9</f>
        <v>CCT PB000517/2021</v>
      </c>
      <c r="D64" s="100">
        <v>5</v>
      </c>
    </row>
    <row r="65" spans="1:4">
      <c r="A65" s="97" t="s">
        <v>87</v>
      </c>
      <c r="B65" s="120" t="s">
        <v>210</v>
      </c>
      <c r="C65" s="119" t="str">
        <f>C60</f>
        <v>CCT PB000517/2021</v>
      </c>
      <c r="D65" s="100">
        <v>40</v>
      </c>
    </row>
    <row r="66" spans="1:4">
      <c r="A66" s="97" t="s">
        <v>58</v>
      </c>
      <c r="D66" s="104">
        <f>TRUNC((SUM(D59:D65)),2)</f>
        <v>529.42</v>
      </c>
    </row>
    <row r="67" spans="1:4">
      <c r="A67" s="97"/>
      <c r="D67" s="104"/>
    </row>
    <row r="68" spans="1:4">
      <c r="A68" s="108" t="s">
        <v>105</v>
      </c>
      <c r="B68" s="96"/>
      <c r="C68" s="96"/>
      <c r="D68" s="96"/>
    </row>
    <row r="69" spans="1:4">
      <c r="A69" s="97" t="s">
        <v>106</v>
      </c>
      <c r="B69" s="21" t="s">
        <v>107</v>
      </c>
      <c r="C69" s="98" t="s">
        <v>18</v>
      </c>
      <c r="D69" s="98" t="s">
        <v>19</v>
      </c>
    </row>
    <row r="70" spans="1:4">
      <c r="A70" s="97" t="s">
        <v>65</v>
      </c>
      <c r="B70" t="s">
        <v>66</v>
      </c>
      <c r="C70" s="98"/>
      <c r="D70" s="104">
        <f>D39</f>
        <v>409.41</v>
      </c>
    </row>
    <row r="71" spans="1:4">
      <c r="A71" s="97" t="s">
        <v>78</v>
      </c>
      <c r="B71" t="s">
        <v>79</v>
      </c>
      <c r="C71" s="98"/>
      <c r="D71" s="104">
        <f>D55</f>
        <v>1000.9</v>
      </c>
    </row>
    <row r="72" spans="1:4">
      <c r="A72" s="97" t="s">
        <v>96</v>
      </c>
      <c r="B72" t="s">
        <v>97</v>
      </c>
      <c r="C72" s="98"/>
      <c r="D72" s="104">
        <f>D66</f>
        <v>529.42</v>
      </c>
    </row>
    <row r="73" spans="1:4">
      <c r="A73" s="97" t="s">
        <v>58</v>
      </c>
      <c r="C73" s="98"/>
      <c r="D73" s="104">
        <f>TRUNC((SUM(D70:D72)),2)</f>
        <v>1939.73</v>
      </c>
    </row>
    <row r="75" spans="1:4">
      <c r="A75" s="75" t="s">
        <v>108</v>
      </c>
      <c r="B75" s="76"/>
      <c r="C75" s="76"/>
      <c r="D75" s="76"/>
    </row>
    <row r="76" spans="1:4">
      <c r="A76" s="97" t="s">
        <v>109</v>
      </c>
      <c r="B76" s="21" t="s">
        <v>110</v>
      </c>
      <c r="C76" s="98" t="s">
        <v>38</v>
      </c>
      <c r="D76" s="98" t="s">
        <v>19</v>
      </c>
    </row>
    <row r="77" spans="1:4">
      <c r="A77" s="97" t="s">
        <v>42</v>
      </c>
      <c r="B77" t="s">
        <v>111</v>
      </c>
      <c r="C77" s="116">
        <f>((1/12)*2%)</f>
        <v>0.00166666666666667</v>
      </c>
      <c r="D77" s="163">
        <f>TRUNC(($D$31*C77),2)</f>
        <v>3.5</v>
      </c>
    </row>
    <row r="78" spans="1:4">
      <c r="A78" s="97" t="s">
        <v>45</v>
      </c>
      <c r="B78" t="s">
        <v>112</v>
      </c>
      <c r="C78" s="121">
        <v>0.08</v>
      </c>
      <c r="D78" s="164">
        <f>TRUNC(($D$77*C78),2)</f>
        <v>0.28</v>
      </c>
    </row>
    <row r="79" ht="28.8" spans="1:4">
      <c r="A79" s="97" t="s">
        <v>48</v>
      </c>
      <c r="B79" s="122" t="s">
        <v>113</v>
      </c>
      <c r="C79" s="123">
        <f>(0.08*0.4*0.02)</f>
        <v>0.00064</v>
      </c>
      <c r="D79" s="164">
        <f>TRUNC(($D$31*C79),2)</f>
        <v>1.34</v>
      </c>
    </row>
    <row r="80" spans="1:4">
      <c r="A80" s="97" t="s">
        <v>50</v>
      </c>
      <c r="B80" t="s">
        <v>114</v>
      </c>
      <c r="C80" s="121">
        <f>(((7/30)/12)*0.98)</f>
        <v>0.0190555555555556</v>
      </c>
      <c r="D80" s="164">
        <f>TRUNC(($D$31*C80),2)</f>
        <v>40.12</v>
      </c>
    </row>
    <row r="81" ht="28.8" spans="1:4">
      <c r="A81" s="97" t="s">
        <v>53</v>
      </c>
      <c r="B81" s="122" t="s">
        <v>211</v>
      </c>
      <c r="C81" s="123">
        <f>C55</f>
        <v>0.398</v>
      </c>
      <c r="D81" s="163">
        <f>TRUNC(($D$80*C81),2)</f>
        <v>15.96</v>
      </c>
    </row>
    <row r="82" ht="28.8" spans="1:4">
      <c r="A82" s="97" t="s">
        <v>55</v>
      </c>
      <c r="B82" s="122" t="s">
        <v>115</v>
      </c>
      <c r="C82" s="123">
        <f>(0.08*0.4*0.98)</f>
        <v>0.03136</v>
      </c>
      <c r="D82" s="163">
        <f>TRUNC(($D$31*C82),2)</f>
        <v>66.03</v>
      </c>
    </row>
    <row r="83" spans="1:4">
      <c r="A83" s="97" t="s">
        <v>58</v>
      </c>
      <c r="C83" s="121">
        <f>SUM(C77:C82)</f>
        <v>0.530722222222222</v>
      </c>
      <c r="D83" s="104">
        <f>TRUNC((SUM(D77:D82)),2)</f>
        <v>127.23</v>
      </c>
    </row>
    <row r="84" ht="15.15" spans="1:4">
      <c r="A84" s="97"/>
      <c r="D84" s="104"/>
    </row>
    <row r="85" ht="15.9" spans="1:4">
      <c r="A85" s="106" t="s">
        <v>212</v>
      </c>
      <c r="B85" s="106"/>
      <c r="C85" s="111" t="s">
        <v>203</v>
      </c>
      <c r="D85" s="112">
        <f>D31</f>
        <v>2105.58</v>
      </c>
    </row>
    <row r="86" ht="15.9" spans="1:4">
      <c r="A86" s="106"/>
      <c r="B86" s="106"/>
      <c r="C86" s="113" t="s">
        <v>213</v>
      </c>
      <c r="D86" s="112">
        <f>D73</f>
        <v>1939.73</v>
      </c>
    </row>
    <row r="87" ht="15.9" spans="1:4">
      <c r="A87" s="106"/>
      <c r="B87" s="106"/>
      <c r="C87" s="111" t="s">
        <v>214</v>
      </c>
      <c r="D87" s="112">
        <f>D83</f>
        <v>127.23</v>
      </c>
    </row>
    <row r="88" ht="15.9" spans="1:4">
      <c r="A88" s="106"/>
      <c r="B88" s="106"/>
      <c r="C88" s="113" t="s">
        <v>205</v>
      </c>
      <c r="D88" s="114">
        <f>TRUNC((SUM(D85:D87)),2)</f>
        <v>4172.54</v>
      </c>
    </row>
    <row r="89" ht="15.15" spans="1:4">
      <c r="A89" s="97"/>
      <c r="D89" s="104"/>
    </row>
    <row r="90" spans="1:4">
      <c r="A90" s="124" t="s">
        <v>127</v>
      </c>
      <c r="B90" s="125"/>
      <c r="C90" s="125"/>
      <c r="D90" s="125"/>
    </row>
    <row r="91" spans="1:4">
      <c r="A91" s="108" t="s">
        <v>128</v>
      </c>
      <c r="B91" s="96"/>
      <c r="C91" s="96"/>
      <c r="D91" s="96"/>
    </row>
    <row r="92" spans="1:4">
      <c r="A92" s="97" t="s">
        <v>129</v>
      </c>
      <c r="B92" s="21" t="s">
        <v>130</v>
      </c>
      <c r="C92" s="98" t="s">
        <v>38</v>
      </c>
      <c r="D92" s="98" t="s">
        <v>19</v>
      </c>
    </row>
    <row r="93" spans="1:4">
      <c r="A93" s="97" t="s">
        <v>42</v>
      </c>
      <c r="B93" t="s">
        <v>132</v>
      </c>
      <c r="C93" s="121">
        <f>(((1+1/3)/12)/12)+((1/12)/12)</f>
        <v>0.0162037037037037</v>
      </c>
      <c r="D93" s="104">
        <f t="shared" ref="D93:D97" si="1">TRUNC(($D$88*C93),2)</f>
        <v>67.61</v>
      </c>
    </row>
    <row r="94" spans="1:4">
      <c r="A94" s="97" t="s">
        <v>45</v>
      </c>
      <c r="B94" t="s">
        <v>133</v>
      </c>
      <c r="C94" s="116">
        <f>((5/30)/12)</f>
        <v>0.0138888888888889</v>
      </c>
      <c r="D94" s="119">
        <f t="shared" si="1"/>
        <v>57.95</v>
      </c>
    </row>
    <row r="95" spans="1:4">
      <c r="A95" s="97" t="s">
        <v>48</v>
      </c>
      <c r="B95" t="s">
        <v>134</v>
      </c>
      <c r="C95" s="116">
        <f>((5/30)/12)*0.02</f>
        <v>0.000277777777777778</v>
      </c>
      <c r="D95" s="119">
        <f t="shared" si="1"/>
        <v>1.15</v>
      </c>
    </row>
    <row r="96" spans="1:4">
      <c r="A96" s="97" t="s">
        <v>50</v>
      </c>
      <c r="B96" s="122" t="s">
        <v>135</v>
      </c>
      <c r="C96" s="123">
        <f>((15/30)/12)*0.08</f>
        <v>0.00333333333333333</v>
      </c>
      <c r="D96" s="119">
        <f t="shared" si="1"/>
        <v>13.9</v>
      </c>
    </row>
    <row r="97" spans="1:4">
      <c r="A97" s="97" t="s">
        <v>53</v>
      </c>
      <c r="B97" t="s">
        <v>136</v>
      </c>
      <c r="C97" s="116">
        <f>((1+1/3)/12)*0.00001*((4/12))</f>
        <v>3.7037037037037e-7</v>
      </c>
      <c r="D97" s="119">
        <f t="shared" si="1"/>
        <v>0</v>
      </c>
    </row>
    <row r="98" spans="1:4">
      <c r="A98" s="97" t="s">
        <v>55</v>
      </c>
      <c r="B98" s="122" t="s">
        <v>215</v>
      </c>
      <c r="C98" s="126">
        <v>0</v>
      </c>
      <c r="D98" s="119">
        <f>TRUNC($D$88*C98)</f>
        <v>0</v>
      </c>
    </row>
    <row r="99" spans="1:4">
      <c r="A99" s="97" t="s">
        <v>58</v>
      </c>
      <c r="C99" s="121">
        <f>SUBTOTAL(109,Submódulo4.159_41[Percentual])</f>
        <v>0.0337040740740741</v>
      </c>
      <c r="D99" s="104">
        <f>TRUNC((SUM(D93:D98)),2)</f>
        <v>140.61</v>
      </c>
    </row>
    <row r="100" spans="1:4">
      <c r="A100" s="97"/>
      <c r="C100" s="98"/>
      <c r="D100" s="104"/>
    </row>
    <row r="101" spans="1:4">
      <c r="A101" s="108" t="s">
        <v>144</v>
      </c>
      <c r="B101" s="96"/>
      <c r="C101" s="96"/>
      <c r="D101" s="96"/>
    </row>
    <row r="102" spans="1:4">
      <c r="A102" s="97" t="s">
        <v>145</v>
      </c>
      <c r="B102" s="21" t="s">
        <v>146</v>
      </c>
      <c r="C102" s="98" t="s">
        <v>18</v>
      </c>
      <c r="D102" s="98" t="s">
        <v>19</v>
      </c>
    </row>
    <row r="103" ht="57.6" spans="1:4">
      <c r="A103" s="97" t="s">
        <v>42</v>
      </c>
      <c r="B103" s="127" t="s">
        <v>147</v>
      </c>
      <c r="C103" s="128" t="s">
        <v>216</v>
      </c>
      <c r="D103" s="165" t="s">
        <v>217</v>
      </c>
    </row>
    <row r="104" spans="1:4">
      <c r="A104" s="97" t="s">
        <v>58</v>
      </c>
      <c r="C104" s="130"/>
      <c r="D104" s="166" t="str">
        <f>D103</f>
        <v>*=TRUNCAR(($D$86/220)*(1*(365/12))/2)</v>
      </c>
    </row>
    <row r="106" spans="1:4">
      <c r="A106" s="108" t="s">
        <v>148</v>
      </c>
      <c r="B106" s="96"/>
      <c r="C106" s="96"/>
      <c r="D106" s="96"/>
    </row>
    <row r="107" spans="1:4">
      <c r="A107" s="97" t="s">
        <v>149</v>
      </c>
      <c r="B107" s="21" t="s">
        <v>150</v>
      </c>
      <c r="C107" s="98" t="s">
        <v>18</v>
      </c>
      <c r="D107" s="98" t="s">
        <v>19</v>
      </c>
    </row>
    <row r="108" spans="1:4">
      <c r="A108" s="97" t="s">
        <v>129</v>
      </c>
      <c r="B108" t="s">
        <v>130</v>
      </c>
      <c r="D108" s="100">
        <f>D99</f>
        <v>140.61</v>
      </c>
    </row>
    <row r="109" spans="1:4">
      <c r="A109" s="97" t="s">
        <v>145</v>
      </c>
      <c r="B109" t="s">
        <v>151</v>
      </c>
      <c r="C109" s="21"/>
      <c r="D109" s="132" t="str">
        <f>Submódulo4.260_42[[#Totals],[Valor]]</f>
        <v>*=TRUNCAR(($D$86/220)*(1*(365/12))/2)</v>
      </c>
    </row>
    <row r="110" ht="43.2" spans="1:4">
      <c r="A110" s="97" t="s">
        <v>58</v>
      </c>
      <c r="B110" s="118"/>
      <c r="C110" s="128" t="s">
        <v>218</v>
      </c>
      <c r="D110" s="133">
        <f>TRUNC((SUM(D108:D109)),2)</f>
        <v>140.61</v>
      </c>
    </row>
    <row r="112" spans="1:4">
      <c r="A112" s="75" t="s">
        <v>152</v>
      </c>
      <c r="B112" s="76"/>
      <c r="C112" s="76"/>
      <c r="D112" s="76"/>
    </row>
    <row r="113" ht="43.95" spans="1:9">
      <c r="A113" s="97" t="s">
        <v>153</v>
      </c>
      <c r="B113" s="21" t="s">
        <v>154</v>
      </c>
      <c r="C113" s="98" t="s">
        <v>18</v>
      </c>
      <c r="D113" s="98" t="s">
        <v>19</v>
      </c>
      <c r="F113" s="134" t="s">
        <v>219</v>
      </c>
      <c r="G113" s="135" t="s">
        <v>220</v>
      </c>
      <c r="H113" s="135" t="s">
        <v>221</v>
      </c>
      <c r="I113" s="135" t="s">
        <v>222</v>
      </c>
    </row>
    <row r="114" ht="15.9" spans="1:9">
      <c r="A114" s="97" t="s">
        <v>42</v>
      </c>
      <c r="B114" t="s">
        <v>223</v>
      </c>
      <c r="D114" s="136">
        <f>'Uniformes e EPI'!G20</f>
        <v>210.36</v>
      </c>
      <c r="F114" s="137" t="s">
        <v>224</v>
      </c>
      <c r="G114" s="138">
        <v>0</v>
      </c>
      <c r="H114" s="139">
        <v>70</v>
      </c>
      <c r="I114" s="139">
        <f>TRUNC(H114*G114,2)</f>
        <v>0</v>
      </c>
    </row>
    <row r="115" ht="15.9" spans="1:9">
      <c r="A115" s="97" t="s">
        <v>45</v>
      </c>
      <c r="B115" t="s">
        <v>225</v>
      </c>
      <c r="D115" s="136">
        <f>EPC!E21</f>
        <v>19.06</v>
      </c>
      <c r="F115" s="140" t="s">
        <v>226</v>
      </c>
      <c r="G115" s="141">
        <v>0</v>
      </c>
      <c r="H115" s="142">
        <v>35</v>
      </c>
      <c r="I115" s="139">
        <f>TRUNC(H115*G115,2)</f>
        <v>0</v>
      </c>
    </row>
    <row r="116" ht="15.15" spans="1:9">
      <c r="A116" s="97" t="s">
        <v>48</v>
      </c>
      <c r="B116" t="s">
        <v>156</v>
      </c>
      <c r="D116" s="136">
        <f>'Equipamentos e Materiais'!E101</f>
        <v>148.48</v>
      </c>
      <c r="F116" s="143" t="s">
        <v>205</v>
      </c>
      <c r="G116" s="144"/>
      <c r="H116" s="145">
        <f>TRUNC(SUM(I114:I115),2)</f>
        <v>0</v>
      </c>
      <c r="I116" s="147"/>
    </row>
    <row r="117" spans="1:9">
      <c r="A117" s="97" t="s">
        <v>50</v>
      </c>
      <c r="B117" t="s">
        <v>157</v>
      </c>
      <c r="D117" s="136">
        <f>'Equipamentos e Materiais'!F132</f>
        <v>11.49</v>
      </c>
      <c r="F117" s="143" t="s">
        <v>227</v>
      </c>
      <c r="G117" s="144"/>
      <c r="H117" s="145">
        <f>TRUNC(H116/12,2)</f>
        <v>0</v>
      </c>
      <c r="I117" s="147"/>
    </row>
    <row r="118" spans="1:9">
      <c r="A118" s="97" t="s">
        <v>53</v>
      </c>
      <c r="B118" t="s">
        <v>228</v>
      </c>
      <c r="D118" s="136">
        <f>H117</f>
        <v>0</v>
      </c>
      <c r="F118" s="146" t="s">
        <v>229</v>
      </c>
      <c r="G118" s="146"/>
      <c r="H118" s="146"/>
      <c r="I118" s="146"/>
    </row>
    <row r="119" spans="1:9">
      <c r="A119" s="97" t="s">
        <v>58</v>
      </c>
      <c r="D119" s="167">
        <f>TRUNC(SUM(D114:D118),2)</f>
        <v>389.39</v>
      </c>
      <c r="F119" s="146"/>
      <c r="G119" s="146"/>
      <c r="H119" s="146"/>
      <c r="I119" s="146"/>
    </row>
    <row r="120" ht="15.15" spans="4:4">
      <c r="D120" s="168"/>
    </row>
    <row r="121" ht="15.9" spans="1:4">
      <c r="A121" s="106" t="s">
        <v>230</v>
      </c>
      <c r="B121" s="106"/>
      <c r="C121" s="111" t="s">
        <v>203</v>
      </c>
      <c r="D121" s="112">
        <f>D31</f>
        <v>2105.58</v>
      </c>
    </row>
    <row r="122" ht="15.9" spans="1:4">
      <c r="A122" s="106"/>
      <c r="B122" s="106"/>
      <c r="C122" s="113" t="s">
        <v>213</v>
      </c>
      <c r="D122" s="112">
        <f>D73</f>
        <v>1939.73</v>
      </c>
    </row>
    <row r="123" ht="15.9" spans="1:4">
      <c r="A123" s="106"/>
      <c r="B123" s="106"/>
      <c r="C123" s="111" t="s">
        <v>214</v>
      </c>
      <c r="D123" s="112">
        <f>D83</f>
        <v>127.23</v>
      </c>
    </row>
    <row r="124" ht="15.9" spans="1:4">
      <c r="A124" s="106"/>
      <c r="B124" s="106"/>
      <c r="C124" s="113" t="s">
        <v>231</v>
      </c>
      <c r="D124" s="112">
        <f>D110</f>
        <v>140.61</v>
      </c>
    </row>
    <row r="125" ht="15.9" spans="1:4">
      <c r="A125" s="106"/>
      <c r="B125" s="106"/>
      <c r="C125" s="111" t="s">
        <v>232</v>
      </c>
      <c r="D125" s="112">
        <f>D119</f>
        <v>389.39</v>
      </c>
    </row>
    <row r="126" ht="15.9" spans="1:4">
      <c r="A126" s="106"/>
      <c r="B126" s="106"/>
      <c r="C126" s="113" t="s">
        <v>205</v>
      </c>
      <c r="D126" s="114">
        <f>TRUNC((SUM(D121:D125)),2)</f>
        <v>4702.54</v>
      </c>
    </row>
    <row r="127" ht="15.15"/>
    <row r="128" spans="1:4">
      <c r="A128" s="75" t="s">
        <v>164</v>
      </c>
      <c r="B128" s="76"/>
      <c r="C128" s="76"/>
      <c r="D128" s="76"/>
    </row>
    <row r="129" ht="15.15" spans="1:7">
      <c r="A129" s="97" t="s">
        <v>165</v>
      </c>
      <c r="B129" t="s">
        <v>166</v>
      </c>
      <c r="C129" s="98" t="s">
        <v>38</v>
      </c>
      <c r="D129" s="98" t="s">
        <v>19</v>
      </c>
      <c r="F129" s="134" t="s">
        <v>233</v>
      </c>
      <c r="G129" s="134"/>
    </row>
    <row r="130" ht="15.15" spans="1:7">
      <c r="A130" s="97" t="s">
        <v>42</v>
      </c>
      <c r="B130" t="s">
        <v>167</v>
      </c>
      <c r="C130" s="116">
        <v>0.04</v>
      </c>
      <c r="D130" s="100">
        <f>TRUNC(($D$126*C130),2)</f>
        <v>188.1</v>
      </c>
      <c r="F130" s="137" t="s">
        <v>234</v>
      </c>
      <c r="G130" s="123">
        <f>C132</f>
        <v>0.0865</v>
      </c>
    </row>
    <row r="131" ht="15.15" spans="1:7">
      <c r="A131" s="97" t="s">
        <v>45</v>
      </c>
      <c r="B131" t="s">
        <v>59</v>
      </c>
      <c r="C131" s="116">
        <v>0.05</v>
      </c>
      <c r="D131" s="100">
        <f>TRUNC((C131*(D126+D130)),2)</f>
        <v>244.53</v>
      </c>
      <c r="F131" s="148" t="s">
        <v>235</v>
      </c>
      <c r="G131" s="169">
        <f>TRUNC(SUM(D126,D130,D131),2)</f>
        <v>5135.17</v>
      </c>
    </row>
    <row r="132" ht="15.15" spans="1:7">
      <c r="A132" s="97" t="s">
        <v>48</v>
      </c>
      <c r="B132" t="s">
        <v>168</v>
      </c>
      <c r="C132" s="116">
        <f>SUM(C133:C135)</f>
        <v>0.0865</v>
      </c>
      <c r="D132" s="100">
        <f>TRUNC((SUM(D133:D135)),2)</f>
        <v>486.24</v>
      </c>
      <c r="F132" s="137" t="s">
        <v>236</v>
      </c>
      <c r="G132" s="150">
        <f>(100-8.65)/100</f>
        <v>0.9135</v>
      </c>
    </row>
    <row r="133" ht="15.15" spans="1:7">
      <c r="A133" s="97"/>
      <c r="B133" t="s">
        <v>237</v>
      </c>
      <c r="C133" s="116">
        <v>0.0065</v>
      </c>
      <c r="D133" s="100">
        <f t="shared" ref="D133:D135" si="2">TRUNC(($G$133*C133),2)</f>
        <v>36.53</v>
      </c>
      <c r="F133" s="148" t="s">
        <v>233</v>
      </c>
      <c r="G133" s="169">
        <f>TRUNC((G131/G132),2)</f>
        <v>5621.42</v>
      </c>
    </row>
    <row r="134" ht="15.15" spans="1:4">
      <c r="A134" s="97"/>
      <c r="B134" t="s">
        <v>238</v>
      </c>
      <c r="C134" s="116">
        <v>0.03</v>
      </c>
      <c r="D134" s="100">
        <f t="shared" si="2"/>
        <v>168.64</v>
      </c>
    </row>
    <row r="135" spans="1:4">
      <c r="A135" s="97"/>
      <c r="B135" t="s">
        <v>239</v>
      </c>
      <c r="C135" s="116">
        <v>0.05</v>
      </c>
      <c r="D135" s="100">
        <f t="shared" si="2"/>
        <v>281.07</v>
      </c>
    </row>
    <row r="136" spans="1:4">
      <c r="A136" s="97" t="s">
        <v>58</v>
      </c>
      <c r="C136" s="151"/>
      <c r="D136" s="104">
        <f>TRUNC(SUM(D130:D132),2)</f>
        <v>918.87</v>
      </c>
    </row>
    <row r="137" spans="1:4">
      <c r="A137" s="97"/>
      <c r="C137" s="151"/>
      <c r="D137" s="104"/>
    </row>
    <row r="139" spans="1:4">
      <c r="A139" s="75" t="s">
        <v>172</v>
      </c>
      <c r="B139" s="76"/>
      <c r="C139" s="76"/>
      <c r="D139" s="76"/>
    </row>
    <row r="140" spans="1:4">
      <c r="A140" s="97" t="s">
        <v>16</v>
      </c>
      <c r="B140" s="98" t="s">
        <v>173</v>
      </c>
      <c r="C140" s="98" t="s">
        <v>102</v>
      </c>
      <c r="D140" s="98" t="s">
        <v>19</v>
      </c>
    </row>
    <row r="141" spans="1:4">
      <c r="A141" s="97" t="s">
        <v>42</v>
      </c>
      <c r="B141" t="s">
        <v>36</v>
      </c>
      <c r="D141" s="104">
        <f>D31</f>
        <v>2105.58</v>
      </c>
    </row>
    <row r="142" spans="1:4">
      <c r="A142" s="97" t="s">
        <v>45</v>
      </c>
      <c r="B142" t="s">
        <v>61</v>
      </c>
      <c r="D142" s="104">
        <f>D73</f>
        <v>1939.73</v>
      </c>
    </row>
    <row r="143" spans="1:4">
      <c r="A143" s="97" t="s">
        <v>48</v>
      </c>
      <c r="B143" t="s">
        <v>108</v>
      </c>
      <c r="D143" s="104">
        <f>D83</f>
        <v>127.23</v>
      </c>
    </row>
    <row r="144" spans="1:4">
      <c r="A144" s="97" t="s">
        <v>50</v>
      </c>
      <c r="B144" t="s">
        <v>174</v>
      </c>
      <c r="D144" s="104">
        <f>D110</f>
        <v>140.61</v>
      </c>
    </row>
    <row r="145" spans="1:4">
      <c r="A145" s="97" t="s">
        <v>53</v>
      </c>
      <c r="B145" t="s">
        <v>152</v>
      </c>
      <c r="D145" s="104">
        <f>D119</f>
        <v>389.39</v>
      </c>
    </row>
    <row r="146" spans="2:4">
      <c r="B146" s="152" t="s">
        <v>240</v>
      </c>
      <c r="D146" s="104">
        <f>TRUNC(SUM(D141:D145),2)</f>
        <v>4702.54</v>
      </c>
    </row>
    <row r="147" spans="1:4">
      <c r="A147" s="97" t="s">
        <v>55</v>
      </c>
      <c r="B147" t="s">
        <v>164</v>
      </c>
      <c r="D147" s="104">
        <f>D136</f>
        <v>918.87</v>
      </c>
    </row>
    <row r="148" spans="1:4">
      <c r="A148" s="170"/>
      <c r="B148" s="154" t="s">
        <v>241</v>
      </c>
      <c r="C148" s="155"/>
      <c r="D148" s="156">
        <f>TRUNC((SUM(D141:D145)+D147),2)</f>
        <v>5621.41</v>
      </c>
    </row>
  </sheetData>
  <mergeCells count="38">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F116:G116"/>
    <mergeCell ref="H116:I116"/>
    <mergeCell ref="F117:G117"/>
    <mergeCell ref="H117:I117"/>
    <mergeCell ref="A128:D128"/>
    <mergeCell ref="F129:G129"/>
    <mergeCell ref="A139:D139"/>
    <mergeCell ref="A41:B43"/>
    <mergeCell ref="A85:B88"/>
    <mergeCell ref="A121:B126"/>
    <mergeCell ref="F118:I119"/>
  </mergeCells>
  <pageMargins left="0.75" right="0.75" top="1" bottom="1" header="0.5" footer="0.5"/>
  <pageSetup paperSize="9" scale="85"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148"/>
  <sheetViews>
    <sheetView topLeftCell="A124" workbookViewId="0">
      <selection activeCell="F32" sqref="F32"/>
    </sheetView>
  </sheetViews>
  <sheetFormatPr defaultColWidth="9.13888888888889" defaultRowHeight="14.4"/>
  <cols>
    <col min="1" max="1" width="10.5740740740741" style="51" customWidth="1"/>
    <col min="2" max="2" width="51.287037037037" customWidth="1"/>
    <col min="3" max="3" width="29.8611111111111" customWidth="1"/>
    <col min="4" max="4" width="41" customWidth="1"/>
    <col min="6" max="6" width="22.8611111111111" customWidth="1"/>
    <col min="7" max="7" width="13.6481481481481" customWidth="1"/>
    <col min="8" max="8" width="10.9537037037037" customWidth="1"/>
    <col min="9" max="9" width="11.4259259259259" customWidth="1"/>
  </cols>
  <sheetData>
    <row r="2" ht="18.75" spans="1:4">
      <c r="A2" s="66" t="s">
        <v>177</v>
      </c>
      <c r="B2" s="67"/>
      <c r="C2" s="67"/>
      <c r="D2" s="67"/>
    </row>
    <row r="3" ht="15.15" spans="1:4">
      <c r="A3" s="68" t="s">
        <v>178</v>
      </c>
      <c r="B3" s="69"/>
      <c r="C3" s="69"/>
      <c r="D3" s="69"/>
    </row>
    <row r="4" spans="1:4">
      <c r="A4" s="70" t="s">
        <v>179</v>
      </c>
      <c r="B4" s="71" t="s">
        <v>180</v>
      </c>
      <c r="C4" s="72"/>
      <c r="D4" s="72"/>
    </row>
    <row r="5" spans="1:4">
      <c r="A5" s="73"/>
      <c r="B5" s="74"/>
      <c r="C5" s="74"/>
      <c r="D5" s="74"/>
    </row>
    <row r="6" ht="15.15" spans="1:4">
      <c r="A6" s="75" t="s">
        <v>181</v>
      </c>
      <c r="B6" s="76"/>
      <c r="C6" s="76"/>
      <c r="D6" s="76"/>
    </row>
    <row r="7" ht="15.15" spans="1:4">
      <c r="A7" s="77" t="s">
        <v>42</v>
      </c>
      <c r="B7" s="78" t="s">
        <v>182</v>
      </c>
      <c r="C7" s="79" t="s">
        <v>183</v>
      </c>
      <c r="D7" s="79"/>
    </row>
    <row r="8" spans="1:4">
      <c r="A8" s="80" t="s">
        <v>45</v>
      </c>
      <c r="B8" s="81" t="s">
        <v>184</v>
      </c>
      <c r="C8" s="82" t="s">
        <v>185</v>
      </c>
      <c r="D8" s="82"/>
    </row>
    <row r="9" spans="1:4">
      <c r="A9" s="83" t="s">
        <v>48</v>
      </c>
      <c r="B9" s="84" t="s">
        <v>186</v>
      </c>
      <c r="C9" s="82" t="s">
        <v>187</v>
      </c>
      <c r="D9" s="82"/>
    </row>
    <row r="10" spans="1:4">
      <c r="A10" s="80" t="s">
        <v>53</v>
      </c>
      <c r="B10" s="81" t="s">
        <v>188</v>
      </c>
      <c r="C10" s="82" t="s">
        <v>189</v>
      </c>
      <c r="D10" s="82"/>
    </row>
    <row r="11" ht="15.15" spans="1:4">
      <c r="A11" s="85" t="s">
        <v>190</v>
      </c>
      <c r="B11" s="86"/>
      <c r="C11" s="86"/>
      <c r="D11" s="86"/>
    </row>
    <row r="12" ht="15.9" spans="1:4">
      <c r="A12" s="87" t="s">
        <v>191</v>
      </c>
      <c r="B12" s="88"/>
      <c r="C12" s="86" t="s">
        <v>192</v>
      </c>
      <c r="D12" s="89" t="s">
        <v>193</v>
      </c>
    </row>
    <row r="13" ht="15.15" spans="1:4">
      <c r="A13" s="90" t="s">
        <v>242</v>
      </c>
      <c r="B13" s="91"/>
      <c r="C13" s="82" t="s">
        <v>195</v>
      </c>
      <c r="D13" s="92">
        <f>RESUMO!D4</f>
        <v>5</v>
      </c>
    </row>
    <row r="14" spans="1:4">
      <c r="A14" s="93"/>
      <c r="B14" s="94"/>
      <c r="C14" s="82"/>
      <c r="D14" s="95"/>
    </row>
    <row r="15" ht="15.15" spans="1:7">
      <c r="A15" s="85" t="s">
        <v>14</v>
      </c>
      <c r="B15" s="86"/>
      <c r="C15" s="86"/>
      <c r="D15" s="86"/>
      <c r="F15" s="96"/>
      <c r="G15" s="96"/>
    </row>
    <row r="16" ht="15.15" spans="1:4">
      <c r="A16" s="97" t="s">
        <v>16</v>
      </c>
      <c r="B16" t="s">
        <v>17</v>
      </c>
      <c r="C16" s="98" t="s">
        <v>18</v>
      </c>
      <c r="D16" s="98" t="s">
        <v>19</v>
      </c>
    </row>
    <row r="17" spans="1:4">
      <c r="A17" s="97">
        <v>1</v>
      </c>
      <c r="B17" t="s">
        <v>20</v>
      </c>
      <c r="C17" s="99" t="s">
        <v>102</v>
      </c>
      <c r="D17" s="99" t="str">
        <f>A13</f>
        <v>Auxiliar de Manutenção Predial</v>
      </c>
    </row>
    <row r="18" spans="1:4">
      <c r="A18" s="97">
        <v>2</v>
      </c>
      <c r="B18" t="s">
        <v>23</v>
      </c>
      <c r="C18" s="99" t="s">
        <v>196</v>
      </c>
      <c r="D18" s="99" t="s">
        <v>243</v>
      </c>
    </row>
    <row r="19" spans="1:4">
      <c r="A19" s="97">
        <v>3</v>
      </c>
      <c r="B19" t="s">
        <v>26</v>
      </c>
      <c r="C19" s="99" t="str">
        <f>C9</f>
        <v>CCT PB000517/2021</v>
      </c>
      <c r="D19" s="100">
        <v>1619.68</v>
      </c>
    </row>
    <row r="20" spans="1:4">
      <c r="A20" s="97">
        <v>4</v>
      </c>
      <c r="B20" t="s">
        <v>29</v>
      </c>
      <c r="C20" s="99" t="str">
        <f>C9</f>
        <v>CCT PB000517/2021</v>
      </c>
      <c r="D20" s="101" t="s">
        <v>198</v>
      </c>
    </row>
    <row r="21" spans="1:4">
      <c r="A21" s="97">
        <v>5</v>
      </c>
      <c r="B21" t="s">
        <v>33</v>
      </c>
      <c r="C21" s="99" t="str">
        <f>C9</f>
        <v>CCT PB000517/2021</v>
      </c>
      <c r="D21" s="102" t="s">
        <v>199</v>
      </c>
    </row>
    <row r="22" spans="6:7">
      <c r="F22" s="96"/>
      <c r="G22" s="96"/>
    </row>
    <row r="23" spans="1:4">
      <c r="A23" s="75" t="s">
        <v>36</v>
      </c>
      <c r="B23" s="76"/>
      <c r="C23" s="76"/>
      <c r="D23" s="76"/>
    </row>
    <row r="24" spans="1:7">
      <c r="A24" s="97" t="s">
        <v>39</v>
      </c>
      <c r="B24" s="21" t="s">
        <v>40</v>
      </c>
      <c r="C24" s="98" t="s">
        <v>18</v>
      </c>
      <c r="D24" s="98" t="s">
        <v>19</v>
      </c>
      <c r="G24" s="103"/>
    </row>
    <row r="25" spans="1:7">
      <c r="A25" s="97" t="s">
        <v>42</v>
      </c>
      <c r="B25" t="s">
        <v>43</v>
      </c>
      <c r="C25" s="101" t="s">
        <v>200</v>
      </c>
      <c r="D25" s="100">
        <f>D19</f>
        <v>1619.68</v>
      </c>
      <c r="G25" s="103"/>
    </row>
    <row r="26" spans="1:7">
      <c r="A26" s="97" t="s">
        <v>45</v>
      </c>
      <c r="B26" t="s">
        <v>244</v>
      </c>
      <c r="C26" s="101"/>
      <c r="D26" s="100">
        <v>0</v>
      </c>
      <c r="G26" s="103"/>
    </row>
    <row r="27" spans="1:4">
      <c r="A27" s="97" t="s">
        <v>48</v>
      </c>
      <c r="B27" t="s">
        <v>245</v>
      </c>
      <c r="C27" s="101"/>
      <c r="D27" s="100">
        <v>0</v>
      </c>
    </row>
    <row r="28" spans="1:4">
      <c r="A28" s="97" t="s">
        <v>50</v>
      </c>
      <c r="B28" t="s">
        <v>51</v>
      </c>
      <c r="C28" s="101"/>
      <c r="D28" s="100">
        <v>0</v>
      </c>
    </row>
    <row r="29" spans="1:4">
      <c r="A29" s="97" t="s">
        <v>53</v>
      </c>
      <c r="B29" t="s">
        <v>54</v>
      </c>
      <c r="C29" s="101"/>
      <c r="D29" s="100">
        <v>0</v>
      </c>
    </row>
    <row r="30" spans="1:4">
      <c r="A30" s="97" t="s">
        <v>55</v>
      </c>
      <c r="B30" t="s">
        <v>56</v>
      </c>
      <c r="C30" s="101"/>
      <c r="D30" s="100">
        <v>0</v>
      </c>
    </row>
    <row r="31" spans="1:7">
      <c r="A31" s="97" t="s">
        <v>58</v>
      </c>
      <c r="C31" s="98"/>
      <c r="D31" s="104">
        <f>TRUNC(SUM(D25:D30),2)</f>
        <v>1619.68</v>
      </c>
      <c r="F31" s="96"/>
      <c r="G31" s="96"/>
    </row>
    <row r="32" spans="2:2">
      <c r="B32" s="105" t="s">
        <v>246</v>
      </c>
    </row>
    <row r="33" spans="1:7">
      <c r="A33" s="106" t="s">
        <v>61</v>
      </c>
      <c r="B33" s="107"/>
      <c r="C33" s="107"/>
      <c r="D33" s="107"/>
      <c r="G33" s="103"/>
    </row>
    <row r="35" spans="1:4">
      <c r="A35" s="108" t="s">
        <v>63</v>
      </c>
      <c r="B35" s="96"/>
      <c r="C35" s="96"/>
      <c r="D35" s="96"/>
    </row>
    <row r="36" spans="1:4">
      <c r="A36" s="97" t="s">
        <v>65</v>
      </c>
      <c r="B36" s="21" t="s">
        <v>66</v>
      </c>
      <c r="C36" s="98" t="s">
        <v>38</v>
      </c>
      <c r="D36" s="98" t="s">
        <v>19</v>
      </c>
    </row>
    <row r="37" spans="1:7">
      <c r="A37" s="97" t="s">
        <v>42</v>
      </c>
      <c r="B37" t="s">
        <v>67</v>
      </c>
      <c r="C37" s="109">
        <f>(1/12)</f>
        <v>0.0833333333333333</v>
      </c>
      <c r="D37" s="104">
        <f>TRUNC($D$31*C37,2)</f>
        <v>134.97</v>
      </c>
      <c r="F37" s="110"/>
      <c r="G37" s="110"/>
    </row>
    <row r="38" spans="1:7">
      <c r="A38" s="97" t="s">
        <v>45</v>
      </c>
      <c r="B38" t="s">
        <v>68</v>
      </c>
      <c r="C38" s="109">
        <f>(((1+1/3)/12))</f>
        <v>0.111111111111111</v>
      </c>
      <c r="D38" s="104">
        <f>TRUNC($D$31*C38,2)</f>
        <v>179.96</v>
      </c>
      <c r="F38" s="110"/>
      <c r="G38" s="110"/>
    </row>
    <row r="39" spans="1:7">
      <c r="A39" s="97" t="s">
        <v>58</v>
      </c>
      <c r="D39" s="104">
        <f>TRUNC((SUM(D37:D38)),2)</f>
        <v>314.93</v>
      </c>
      <c r="F39" s="110"/>
      <c r="G39" s="110"/>
    </row>
    <row r="40" ht="15.15" spans="4:7">
      <c r="D40" s="104"/>
      <c r="F40" s="110"/>
      <c r="G40" s="110"/>
    </row>
    <row r="41" ht="15.9" spans="1:7">
      <c r="A41" s="106" t="s">
        <v>202</v>
      </c>
      <c r="B41" s="106"/>
      <c r="C41" s="111" t="s">
        <v>203</v>
      </c>
      <c r="D41" s="112">
        <f>D31</f>
        <v>1619.68</v>
      </c>
      <c r="F41" s="110"/>
      <c r="G41" s="110"/>
    </row>
    <row r="42" ht="15.9" spans="1:7">
      <c r="A42" s="106"/>
      <c r="B42" s="106"/>
      <c r="C42" s="113" t="s">
        <v>204</v>
      </c>
      <c r="D42" s="112">
        <f>D39</f>
        <v>314.93</v>
      </c>
      <c r="F42" s="110"/>
      <c r="G42" s="110"/>
    </row>
    <row r="43" ht="15.9" spans="1:7">
      <c r="A43" s="106"/>
      <c r="B43" s="106"/>
      <c r="C43" s="111" t="s">
        <v>205</v>
      </c>
      <c r="D43" s="114">
        <f>TRUNC((SUM(D41:D42)),2)</f>
        <v>1934.61</v>
      </c>
      <c r="F43" s="110"/>
      <c r="G43" s="110"/>
    </row>
    <row r="44" ht="15.15" spans="1:7">
      <c r="A44" s="97"/>
      <c r="C44" s="115"/>
      <c r="D44" s="104"/>
      <c r="F44" s="110"/>
      <c r="G44" s="110"/>
    </row>
    <row r="45" spans="1:4">
      <c r="A45" s="108" t="s">
        <v>77</v>
      </c>
      <c r="B45" s="96"/>
      <c r="C45" s="96"/>
      <c r="D45" s="96"/>
    </row>
    <row r="46" spans="1:4">
      <c r="A46" s="97" t="s">
        <v>78</v>
      </c>
      <c r="B46" s="21" t="s">
        <v>79</v>
      </c>
      <c r="C46" s="98" t="s">
        <v>38</v>
      </c>
      <c r="D46" s="98" t="s">
        <v>80</v>
      </c>
    </row>
    <row r="47" spans="1:4">
      <c r="A47" s="97" t="s">
        <v>42</v>
      </c>
      <c r="B47" t="s">
        <v>81</v>
      </c>
      <c r="C47" s="109">
        <v>0.2</v>
      </c>
      <c r="D47" s="104">
        <f t="shared" ref="D47:D54" si="0">TRUNC(($D$43*C47),2)</f>
        <v>386.92</v>
      </c>
    </row>
    <row r="48" spans="1:4">
      <c r="A48" s="97" t="s">
        <v>45</v>
      </c>
      <c r="B48" t="s">
        <v>82</v>
      </c>
      <c r="C48" s="109">
        <v>0.025</v>
      </c>
      <c r="D48" s="104">
        <f t="shared" si="0"/>
        <v>48.36</v>
      </c>
    </row>
    <row r="49" spans="1:4">
      <c r="A49" s="97" t="s">
        <v>48</v>
      </c>
      <c r="B49" t="s">
        <v>206</v>
      </c>
      <c r="C49" s="116">
        <v>0.06</v>
      </c>
      <c r="D49" s="100">
        <f t="shared" si="0"/>
        <v>116.07</v>
      </c>
    </row>
    <row r="50" spans="1:4">
      <c r="A50" s="97" t="s">
        <v>50</v>
      </c>
      <c r="B50" t="s">
        <v>84</v>
      </c>
      <c r="C50" s="109">
        <v>0.015</v>
      </c>
      <c r="D50" s="104">
        <f t="shared" si="0"/>
        <v>29.01</v>
      </c>
    </row>
    <row r="51" spans="1:4">
      <c r="A51" s="97" t="s">
        <v>53</v>
      </c>
      <c r="B51" t="s">
        <v>85</v>
      </c>
      <c r="C51" s="109">
        <v>0.01</v>
      </c>
      <c r="D51" s="104">
        <f t="shared" si="0"/>
        <v>19.34</v>
      </c>
    </row>
    <row r="52" spans="1:4">
      <c r="A52" s="97" t="s">
        <v>55</v>
      </c>
      <c r="B52" t="s">
        <v>86</v>
      </c>
      <c r="C52" s="109">
        <v>0.006</v>
      </c>
      <c r="D52" s="104">
        <f t="shared" si="0"/>
        <v>11.6</v>
      </c>
    </row>
    <row r="53" spans="1:4">
      <c r="A53" s="97" t="s">
        <v>87</v>
      </c>
      <c r="B53" t="s">
        <v>88</v>
      </c>
      <c r="C53" s="109">
        <v>0.002</v>
      </c>
      <c r="D53" s="104">
        <f t="shared" si="0"/>
        <v>3.86</v>
      </c>
    </row>
    <row r="54" spans="1:4">
      <c r="A54" s="97" t="s">
        <v>89</v>
      </c>
      <c r="B54" t="s">
        <v>90</v>
      </c>
      <c r="C54" s="109">
        <v>0.08</v>
      </c>
      <c r="D54" s="104">
        <f t="shared" si="0"/>
        <v>154.76</v>
      </c>
    </row>
    <row r="55" spans="1:4">
      <c r="A55" s="97" t="s">
        <v>58</v>
      </c>
      <c r="C55" s="115">
        <f>SUM(C47:C54)</f>
        <v>0.398</v>
      </c>
      <c r="D55" s="104">
        <f>TRUNC((SUM(D47:D54)),2)</f>
        <v>769.92</v>
      </c>
    </row>
    <row r="56" spans="1:4">
      <c r="A56" s="97"/>
      <c r="C56" s="115"/>
      <c r="D56" s="104"/>
    </row>
    <row r="57" spans="1:4">
      <c r="A57" s="108" t="s">
        <v>95</v>
      </c>
      <c r="B57" s="96"/>
      <c r="C57" s="96"/>
      <c r="D57" s="96"/>
    </row>
    <row r="58" spans="1:4">
      <c r="A58" s="97" t="s">
        <v>96</v>
      </c>
      <c r="B58" s="21" t="s">
        <v>97</v>
      </c>
      <c r="C58" s="98" t="s">
        <v>18</v>
      </c>
      <c r="D58" s="98" t="s">
        <v>19</v>
      </c>
    </row>
    <row r="59" spans="1:4">
      <c r="A59" s="97" t="s">
        <v>42</v>
      </c>
      <c r="B59" t="s">
        <v>98</v>
      </c>
      <c r="C59" s="99"/>
      <c r="D59" s="117">
        <f>TRUNC(((22*4.4)*2)-((D25/100)*6),2)</f>
        <v>96.41</v>
      </c>
    </row>
    <row r="60" spans="1:4">
      <c r="A60" s="97" t="s">
        <v>45</v>
      </c>
      <c r="B60" t="s">
        <v>99</v>
      </c>
      <c r="C60" s="99" t="str">
        <f>C9</f>
        <v>CCT PB000517/2021</v>
      </c>
      <c r="D60" s="100">
        <f>TRUNC((((22*20.91))-(((22*20.91))*0.2)),2)</f>
        <v>368.01</v>
      </c>
    </row>
    <row r="61" spans="1:4">
      <c r="A61" s="97" t="s">
        <v>48</v>
      </c>
      <c r="B61" t="s">
        <v>100</v>
      </c>
      <c r="C61" s="99"/>
      <c r="D61" s="100">
        <v>0</v>
      </c>
    </row>
    <row r="62" spans="1:6">
      <c r="A62" s="97" t="s">
        <v>50</v>
      </c>
      <c r="B62" s="118" t="s">
        <v>207</v>
      </c>
      <c r="C62" s="119"/>
      <c r="D62" s="119">
        <v>0</v>
      </c>
      <c r="F62" s="118"/>
    </row>
    <row r="63" spans="1:4">
      <c r="A63" s="97" t="s">
        <v>53</v>
      </c>
      <c r="B63" s="21" t="s">
        <v>208</v>
      </c>
      <c r="C63" s="99" t="str">
        <f>C60</f>
        <v>CCT PB000517/2021</v>
      </c>
      <c r="D63" s="100">
        <v>20</v>
      </c>
    </row>
    <row r="64" spans="1:4">
      <c r="A64" s="97" t="s">
        <v>55</v>
      </c>
      <c r="B64" s="120" t="s">
        <v>209</v>
      </c>
      <c r="C64" s="99" t="str">
        <f>C9</f>
        <v>CCT PB000517/2021</v>
      </c>
      <c r="D64" s="100">
        <v>5</v>
      </c>
    </row>
    <row r="65" spans="1:4">
      <c r="A65" s="97" t="s">
        <v>87</v>
      </c>
      <c r="B65" s="120" t="s">
        <v>210</v>
      </c>
      <c r="C65" s="119" t="str">
        <f>C60</f>
        <v>CCT PB000517/2021</v>
      </c>
      <c r="D65" s="100">
        <v>40</v>
      </c>
    </row>
    <row r="66" spans="1:4">
      <c r="A66" s="97" t="s">
        <v>58</v>
      </c>
      <c r="D66" s="104">
        <f>TRUNC((SUM(D59:D65)),2)</f>
        <v>529.42</v>
      </c>
    </row>
    <row r="67" spans="1:4">
      <c r="A67" s="97"/>
      <c r="D67" s="104"/>
    </row>
    <row r="68" spans="1:4">
      <c r="A68" s="108" t="s">
        <v>105</v>
      </c>
      <c r="B68" s="96"/>
      <c r="C68" s="96"/>
      <c r="D68" s="96"/>
    </row>
    <row r="69" spans="1:4">
      <c r="A69" s="97" t="s">
        <v>106</v>
      </c>
      <c r="B69" s="21" t="s">
        <v>107</v>
      </c>
      <c r="C69" s="98" t="s">
        <v>18</v>
      </c>
      <c r="D69" s="98" t="s">
        <v>19</v>
      </c>
    </row>
    <row r="70" spans="1:4">
      <c r="A70" s="97" t="s">
        <v>65</v>
      </c>
      <c r="B70" t="s">
        <v>66</v>
      </c>
      <c r="C70" s="98"/>
      <c r="D70" s="104">
        <f>D39</f>
        <v>314.93</v>
      </c>
    </row>
    <row r="71" spans="1:4">
      <c r="A71" s="97" t="s">
        <v>78</v>
      </c>
      <c r="B71" t="s">
        <v>79</v>
      </c>
      <c r="C71" s="98"/>
      <c r="D71" s="104">
        <f>D55</f>
        <v>769.92</v>
      </c>
    </row>
    <row r="72" spans="1:4">
      <c r="A72" s="97" t="s">
        <v>96</v>
      </c>
      <c r="B72" t="s">
        <v>97</v>
      </c>
      <c r="C72" s="98"/>
      <c r="D72" s="104">
        <f>D66</f>
        <v>529.42</v>
      </c>
    </row>
    <row r="73" spans="1:4">
      <c r="A73" s="97" t="s">
        <v>58</v>
      </c>
      <c r="C73" s="98"/>
      <c r="D73" s="104">
        <f>TRUNC(SUM(D70:D72),2)</f>
        <v>1614.27</v>
      </c>
    </row>
    <row r="75" spans="1:4">
      <c r="A75" s="75" t="s">
        <v>108</v>
      </c>
      <c r="B75" s="76"/>
      <c r="C75" s="76"/>
      <c r="D75" s="76"/>
    </row>
    <row r="76" spans="1:4">
      <c r="A76" s="97" t="s">
        <v>109</v>
      </c>
      <c r="B76" s="21" t="s">
        <v>110</v>
      </c>
      <c r="C76" s="98" t="s">
        <v>38</v>
      </c>
      <c r="D76" s="98" t="s">
        <v>19</v>
      </c>
    </row>
    <row r="77" spans="1:4">
      <c r="A77" s="97" t="s">
        <v>42</v>
      </c>
      <c r="B77" t="s">
        <v>111</v>
      </c>
      <c r="C77" s="116">
        <f>((1/12)*2%)</f>
        <v>0.00166666666666667</v>
      </c>
      <c r="D77" s="100">
        <f t="shared" ref="D77:D80" si="1">TRUNC(($D$31*C77),2)</f>
        <v>2.69</v>
      </c>
    </row>
    <row r="78" spans="1:4">
      <c r="A78" s="97" t="s">
        <v>45</v>
      </c>
      <c r="B78" t="s">
        <v>112</v>
      </c>
      <c r="C78" s="121">
        <v>0.08</v>
      </c>
      <c r="D78" s="104">
        <f>TRUNC(($D$77*C78),2)</f>
        <v>0.21</v>
      </c>
    </row>
    <row r="79" ht="28.8" spans="1:4">
      <c r="A79" s="97" t="s">
        <v>48</v>
      </c>
      <c r="B79" s="122" t="s">
        <v>113</v>
      </c>
      <c r="C79" s="123">
        <f>(0.08*0.4*0.02)</f>
        <v>0.00064</v>
      </c>
      <c r="D79" s="119">
        <f t="shared" si="1"/>
        <v>1.03</v>
      </c>
    </row>
    <row r="80" spans="1:4">
      <c r="A80" s="97" t="s">
        <v>50</v>
      </c>
      <c r="B80" t="s">
        <v>114</v>
      </c>
      <c r="C80" s="121">
        <f>(((7/30)/12)*0.98)</f>
        <v>0.0190555555555556</v>
      </c>
      <c r="D80" s="104">
        <f t="shared" si="1"/>
        <v>30.86</v>
      </c>
    </row>
    <row r="81" ht="28.8" spans="1:4">
      <c r="A81" s="97" t="s">
        <v>53</v>
      </c>
      <c r="B81" s="122" t="s">
        <v>211</v>
      </c>
      <c r="C81" s="123">
        <f>C55</f>
        <v>0.398</v>
      </c>
      <c r="D81" s="119">
        <f>TRUNC(($D$80*C81),2)</f>
        <v>12.28</v>
      </c>
    </row>
    <row r="82" ht="28.8" spans="1:4">
      <c r="A82" s="97" t="s">
        <v>55</v>
      </c>
      <c r="B82" s="122" t="s">
        <v>115</v>
      </c>
      <c r="C82" s="123">
        <f>(0.08*0.4*0.98)</f>
        <v>0.03136</v>
      </c>
      <c r="D82" s="119">
        <f>TRUNC(($D$31*C82),2)</f>
        <v>50.79</v>
      </c>
    </row>
    <row r="83" spans="1:4">
      <c r="A83" s="97" t="s">
        <v>58</v>
      </c>
      <c r="C83" s="121">
        <f>SUM(C77:C82)</f>
        <v>0.530722222222222</v>
      </c>
      <c r="D83" s="104">
        <f>TRUNC((SUM(D77:D82)),2)</f>
        <v>97.86</v>
      </c>
    </row>
    <row r="84" ht="15.15" spans="1:4">
      <c r="A84" s="97"/>
      <c r="D84" s="104"/>
    </row>
    <row r="85" ht="15.9" spans="1:4">
      <c r="A85" s="106" t="s">
        <v>212</v>
      </c>
      <c r="B85" s="106"/>
      <c r="C85" s="111" t="s">
        <v>203</v>
      </c>
      <c r="D85" s="112">
        <f>D31</f>
        <v>1619.68</v>
      </c>
    </row>
    <row r="86" ht="15.9" spans="1:4">
      <c r="A86" s="106"/>
      <c r="B86" s="106"/>
      <c r="C86" s="113" t="s">
        <v>213</v>
      </c>
      <c r="D86" s="112">
        <f>D73</f>
        <v>1614.27</v>
      </c>
    </row>
    <row r="87" ht="15.9" spans="1:4">
      <c r="A87" s="106"/>
      <c r="B87" s="106"/>
      <c r="C87" s="111" t="s">
        <v>214</v>
      </c>
      <c r="D87" s="112">
        <f>D83</f>
        <v>97.86</v>
      </c>
    </row>
    <row r="88" ht="15.9" spans="1:4">
      <c r="A88" s="106"/>
      <c r="B88" s="106"/>
      <c r="C88" s="113" t="s">
        <v>205</v>
      </c>
      <c r="D88" s="114">
        <f>TRUNC((SUM(D85:D87)),2)</f>
        <v>3331.81</v>
      </c>
    </row>
    <row r="89" ht="15.15" spans="1:4">
      <c r="A89" s="97"/>
      <c r="D89" s="104"/>
    </row>
    <row r="90" spans="1:4">
      <c r="A90" s="124" t="s">
        <v>127</v>
      </c>
      <c r="B90" s="125"/>
      <c r="C90" s="125"/>
      <c r="D90" s="125"/>
    </row>
    <row r="91" spans="1:4">
      <c r="A91" s="108" t="s">
        <v>128</v>
      </c>
      <c r="B91" s="96"/>
      <c r="C91" s="96"/>
      <c r="D91" s="96"/>
    </row>
    <row r="92" spans="1:4">
      <c r="A92" s="97" t="s">
        <v>129</v>
      </c>
      <c r="B92" s="21" t="s">
        <v>130</v>
      </c>
      <c r="C92" s="98" t="s">
        <v>38</v>
      </c>
      <c r="D92" s="98" t="s">
        <v>19</v>
      </c>
    </row>
    <row r="93" spans="1:4">
      <c r="A93" s="97" t="s">
        <v>42</v>
      </c>
      <c r="B93" t="s">
        <v>132</v>
      </c>
      <c r="C93" s="121">
        <f>(((1+1/3)/12)/12)+((1/12)/12)</f>
        <v>0.0162037037037037</v>
      </c>
      <c r="D93" s="104">
        <f>TRUNC(($D$88*C93),2)</f>
        <v>53.98</v>
      </c>
    </row>
    <row r="94" spans="1:4">
      <c r="A94" s="97" t="s">
        <v>45</v>
      </c>
      <c r="B94" t="s">
        <v>133</v>
      </c>
      <c r="C94" s="116">
        <f>((5/30)/12)</f>
        <v>0.0138888888888889</v>
      </c>
      <c r="D94" s="119">
        <f>TRUNC(($D$88*C94),2)</f>
        <v>46.27</v>
      </c>
    </row>
    <row r="95" spans="1:4">
      <c r="A95" s="97" t="s">
        <v>48</v>
      </c>
      <c r="B95" t="s">
        <v>134</v>
      </c>
      <c r="C95" s="116">
        <f>((5/30)/12)*0.02</f>
        <v>0.000277777777777778</v>
      </c>
      <c r="D95" s="119">
        <f t="shared" ref="D93:D97" si="2">TRUNC(($D$88*C95),2)</f>
        <v>0.92</v>
      </c>
    </row>
    <row r="96" spans="1:4">
      <c r="A96" s="97" t="s">
        <v>50</v>
      </c>
      <c r="B96" s="122" t="s">
        <v>135</v>
      </c>
      <c r="C96" s="123">
        <f>((15/30)/12)*0.08</f>
        <v>0.00333333333333333</v>
      </c>
      <c r="D96" s="119">
        <f t="shared" si="2"/>
        <v>11.1</v>
      </c>
    </row>
    <row r="97" spans="1:4">
      <c r="A97" s="97" t="s">
        <v>53</v>
      </c>
      <c r="B97" t="s">
        <v>136</v>
      </c>
      <c r="C97" s="116">
        <f>((1+1/3)/12)*0.00001*((4/12))</f>
        <v>3.7037037037037e-7</v>
      </c>
      <c r="D97" s="119">
        <f t="shared" si="2"/>
        <v>0</v>
      </c>
    </row>
    <row r="98" spans="1:4">
      <c r="A98" s="97" t="s">
        <v>55</v>
      </c>
      <c r="B98" s="122" t="s">
        <v>215</v>
      </c>
      <c r="C98" s="126">
        <v>0</v>
      </c>
      <c r="D98" s="119">
        <f>TRUNC($D$88*C98)</f>
        <v>0</v>
      </c>
    </row>
    <row r="99" spans="1:4">
      <c r="A99" s="97" t="s">
        <v>58</v>
      </c>
      <c r="C99" s="121">
        <f>SUBTOTAL(109,Submódulo4.159_80[Percentual])</f>
        <v>0.0337040740740741</v>
      </c>
      <c r="D99" s="104">
        <f>TRUNC((SUM(D93:D98)),2)</f>
        <v>112.27</v>
      </c>
    </row>
    <row r="100" spans="1:4">
      <c r="A100" s="97"/>
      <c r="C100" s="98"/>
      <c r="D100" s="104"/>
    </row>
    <row r="101" spans="1:4">
      <c r="A101" s="108" t="s">
        <v>144</v>
      </c>
      <c r="B101" s="96"/>
      <c r="C101" s="96"/>
      <c r="D101" s="96"/>
    </row>
    <row r="102" spans="1:4">
      <c r="A102" s="97" t="s">
        <v>145</v>
      </c>
      <c r="B102" s="21" t="s">
        <v>146</v>
      </c>
      <c r="C102" s="98" t="s">
        <v>18</v>
      </c>
      <c r="D102" s="98" t="s">
        <v>19</v>
      </c>
    </row>
    <row r="103" ht="72" spans="1:4">
      <c r="A103" s="97" t="s">
        <v>42</v>
      </c>
      <c r="B103" s="127" t="s">
        <v>147</v>
      </c>
      <c r="C103" s="128" t="s">
        <v>216</v>
      </c>
      <c r="D103" s="129" t="s">
        <v>217</v>
      </c>
    </row>
    <row r="104" spans="1:4">
      <c r="A104" s="97" t="s">
        <v>58</v>
      </c>
      <c r="C104" s="130"/>
      <c r="D104" s="131" t="str">
        <f>D103</f>
        <v>*=TRUNCAR(($D$86/220)*(1*(365/12))/2)</v>
      </c>
    </row>
    <row r="106" spans="1:4">
      <c r="A106" s="108" t="s">
        <v>148</v>
      </c>
      <c r="B106" s="96"/>
      <c r="C106" s="96"/>
      <c r="D106" s="96"/>
    </row>
    <row r="107" spans="1:4">
      <c r="A107" s="97" t="s">
        <v>149</v>
      </c>
      <c r="B107" s="21" t="s">
        <v>150</v>
      </c>
      <c r="C107" s="98" t="s">
        <v>18</v>
      </c>
      <c r="D107" s="98" t="s">
        <v>19</v>
      </c>
    </row>
    <row r="108" spans="1:4">
      <c r="A108" s="97" t="s">
        <v>129</v>
      </c>
      <c r="B108" t="s">
        <v>130</v>
      </c>
      <c r="D108" s="100">
        <f>D99</f>
        <v>112.27</v>
      </c>
    </row>
    <row r="109" spans="1:4">
      <c r="A109" s="97" t="s">
        <v>145</v>
      </c>
      <c r="B109" t="s">
        <v>151</v>
      </c>
      <c r="C109" s="21"/>
      <c r="D109" s="132" t="str">
        <f>Submódulo4.260_81[[#Totals],[Valor]]</f>
        <v>*=TRUNCAR(($D$86/220)*(1*(365/12))/2)</v>
      </c>
    </row>
    <row r="110" ht="43.2" spans="1:4">
      <c r="A110" s="97" t="s">
        <v>58</v>
      </c>
      <c r="B110" s="118"/>
      <c r="C110" s="128" t="s">
        <v>218</v>
      </c>
      <c r="D110" s="133">
        <f>TRUNC((SUM(D108:D109)),2)</f>
        <v>112.27</v>
      </c>
    </row>
    <row r="112" spans="1:4">
      <c r="A112" s="75" t="s">
        <v>152</v>
      </c>
      <c r="B112" s="76"/>
      <c r="C112" s="76"/>
      <c r="D112" s="76"/>
    </row>
    <row r="113" ht="29.55" spans="1:9">
      <c r="A113" s="97" t="s">
        <v>153</v>
      </c>
      <c r="B113" s="21" t="s">
        <v>154</v>
      </c>
      <c r="C113" s="98" t="s">
        <v>18</v>
      </c>
      <c r="D113" s="98" t="s">
        <v>19</v>
      </c>
      <c r="F113" s="134" t="s">
        <v>219</v>
      </c>
      <c r="G113" s="135" t="s">
        <v>220</v>
      </c>
      <c r="H113" s="135" t="s">
        <v>221</v>
      </c>
      <c r="I113" s="135" t="s">
        <v>222</v>
      </c>
    </row>
    <row r="114" ht="15.9" spans="1:9">
      <c r="A114" s="97" t="s">
        <v>42</v>
      </c>
      <c r="B114" t="s">
        <v>223</v>
      </c>
      <c r="D114" s="136">
        <f>'Uniformes e EPI'!G42</f>
        <v>102.41</v>
      </c>
      <c r="F114" s="137" t="s">
        <v>224</v>
      </c>
      <c r="G114" s="138">
        <v>0</v>
      </c>
      <c r="H114" s="139">
        <v>70</v>
      </c>
      <c r="I114" s="139">
        <f>TRUNC(H114*G114,2)</f>
        <v>0</v>
      </c>
    </row>
    <row r="115" ht="15.9" spans="1:9">
      <c r="A115" s="97" t="s">
        <v>45</v>
      </c>
      <c r="B115" t="s">
        <v>225</v>
      </c>
      <c r="D115" s="136">
        <f>EPC!E21</f>
        <v>19.06</v>
      </c>
      <c r="F115" s="140" t="s">
        <v>226</v>
      </c>
      <c r="G115" s="141">
        <v>0</v>
      </c>
      <c r="H115" s="142">
        <v>35</v>
      </c>
      <c r="I115" s="139">
        <f>TRUNC(H115*G115,2)</f>
        <v>0</v>
      </c>
    </row>
    <row r="116" ht="15.15" spans="1:9">
      <c r="A116" s="97" t="s">
        <v>48</v>
      </c>
      <c r="B116" t="s">
        <v>156</v>
      </c>
      <c r="D116" s="136">
        <f>'Equipamentos e Materiais'!E101</f>
        <v>148.48</v>
      </c>
      <c r="F116" s="143" t="s">
        <v>205</v>
      </c>
      <c r="G116" s="144"/>
      <c r="H116" s="145">
        <f>TRUNC(SUM(I114:I115),2)</f>
        <v>0</v>
      </c>
      <c r="I116" s="147"/>
    </row>
    <row r="117" spans="1:9">
      <c r="A117" s="97" t="s">
        <v>50</v>
      </c>
      <c r="B117" t="s">
        <v>157</v>
      </c>
      <c r="D117" s="136">
        <f>'Equipamentos e Materiais'!F132</f>
        <v>11.49</v>
      </c>
      <c r="F117" s="143" t="s">
        <v>227</v>
      </c>
      <c r="G117" s="144"/>
      <c r="H117" s="145">
        <f>TRUNC(H116/12,2)</f>
        <v>0</v>
      </c>
      <c r="I117" s="147"/>
    </row>
    <row r="118" spans="1:9">
      <c r="A118" s="97" t="s">
        <v>53</v>
      </c>
      <c r="B118" t="s">
        <v>228</v>
      </c>
      <c r="D118" s="136">
        <f>H117</f>
        <v>0</v>
      </c>
      <c r="F118" s="146" t="s">
        <v>229</v>
      </c>
      <c r="G118" s="146"/>
      <c r="H118" s="146"/>
      <c r="I118" s="146"/>
    </row>
    <row r="119" spans="1:9">
      <c r="A119" s="97" t="s">
        <v>58</v>
      </c>
      <c r="D119" s="104">
        <f>TRUNC(SUM(D114:D118),2)</f>
        <v>281.44</v>
      </c>
      <c r="F119" s="146"/>
      <c r="G119" s="146"/>
      <c r="H119" s="146"/>
      <c r="I119" s="146"/>
    </row>
    <row r="120" ht="15.15"/>
    <row r="121" ht="15.9" spans="1:4">
      <c r="A121" s="106" t="s">
        <v>230</v>
      </c>
      <c r="B121" s="106"/>
      <c r="C121" s="111" t="s">
        <v>203</v>
      </c>
      <c r="D121" s="112">
        <f>D31</f>
        <v>1619.68</v>
      </c>
    </row>
    <row r="122" ht="15.9" spans="1:4">
      <c r="A122" s="106"/>
      <c r="B122" s="106"/>
      <c r="C122" s="113" t="s">
        <v>213</v>
      </c>
      <c r="D122" s="112">
        <f>D73</f>
        <v>1614.27</v>
      </c>
    </row>
    <row r="123" ht="15.9" spans="1:4">
      <c r="A123" s="106"/>
      <c r="B123" s="106"/>
      <c r="C123" s="111" t="s">
        <v>214</v>
      </c>
      <c r="D123" s="112">
        <f>D83</f>
        <v>97.86</v>
      </c>
    </row>
    <row r="124" ht="15.9" spans="1:4">
      <c r="A124" s="106"/>
      <c r="B124" s="106"/>
      <c r="C124" s="113" t="s">
        <v>231</v>
      </c>
      <c r="D124" s="112">
        <f>D110</f>
        <v>112.27</v>
      </c>
    </row>
    <row r="125" ht="15.9" spans="1:4">
      <c r="A125" s="106"/>
      <c r="B125" s="106"/>
      <c r="C125" s="111" t="s">
        <v>232</v>
      </c>
      <c r="D125" s="112">
        <f>D119</f>
        <v>281.44</v>
      </c>
    </row>
    <row r="126" ht="15.9" spans="1:4">
      <c r="A126" s="106"/>
      <c r="B126" s="106"/>
      <c r="C126" s="113" t="s">
        <v>205</v>
      </c>
      <c r="D126" s="114">
        <f>TRUNC((SUM(D121:D125)),2)</f>
        <v>3725.52</v>
      </c>
    </row>
    <row r="127" ht="15.15"/>
    <row r="128" spans="1:4">
      <c r="A128" s="75" t="s">
        <v>164</v>
      </c>
      <c r="B128" s="76"/>
      <c r="C128" s="76"/>
      <c r="D128" s="76"/>
    </row>
    <row r="129" ht="15.15" spans="1:7">
      <c r="A129" s="97" t="s">
        <v>165</v>
      </c>
      <c r="B129" t="s">
        <v>166</v>
      </c>
      <c r="C129" s="98" t="s">
        <v>38</v>
      </c>
      <c r="D129" s="98" t="s">
        <v>19</v>
      </c>
      <c r="F129" s="134" t="s">
        <v>233</v>
      </c>
      <c r="G129" s="134"/>
    </row>
    <row r="130" ht="15.15" spans="1:7">
      <c r="A130" s="97" t="s">
        <v>42</v>
      </c>
      <c r="B130" t="s">
        <v>167</v>
      </c>
      <c r="C130" s="116">
        <v>0.04</v>
      </c>
      <c r="D130" s="100">
        <f>TRUNC(($D$126*C130),2)</f>
        <v>149.02</v>
      </c>
      <c r="F130" s="137" t="s">
        <v>234</v>
      </c>
      <c r="G130" s="123">
        <f>C132</f>
        <v>0.0865</v>
      </c>
    </row>
    <row r="131" ht="15.15" spans="1:7">
      <c r="A131" s="97" t="s">
        <v>45</v>
      </c>
      <c r="B131" t="s">
        <v>59</v>
      </c>
      <c r="C131" s="116">
        <v>0.05</v>
      </c>
      <c r="D131" s="100">
        <f>TRUNC((C131*(D126+D130)),2)</f>
        <v>193.72</v>
      </c>
      <c r="F131" s="148" t="s">
        <v>235</v>
      </c>
      <c r="G131" s="157">
        <f>TRUNC(SUM(D126,D130,D131),2)</f>
        <v>4068.26</v>
      </c>
    </row>
    <row r="132" ht="15.15" spans="1:7">
      <c r="A132" s="97" t="s">
        <v>48</v>
      </c>
      <c r="B132" t="s">
        <v>168</v>
      </c>
      <c r="C132" s="116">
        <f>SUM(C133:C135)</f>
        <v>0.0865</v>
      </c>
      <c r="D132" s="100">
        <f>TRUNC((SUM(D133:D135)),2)</f>
        <v>385.21</v>
      </c>
      <c r="F132" s="137" t="s">
        <v>236</v>
      </c>
      <c r="G132" s="150">
        <f>(100-8.65)/100</f>
        <v>0.9135</v>
      </c>
    </row>
    <row r="133" ht="15.15" spans="1:7">
      <c r="A133" s="97"/>
      <c r="B133" t="s">
        <v>237</v>
      </c>
      <c r="C133" s="116">
        <v>0.0065</v>
      </c>
      <c r="D133" s="100">
        <f t="shared" ref="D133:D135" si="3">TRUNC(($G$133*C133),2)</f>
        <v>28.94</v>
      </c>
      <c r="F133" s="148" t="s">
        <v>233</v>
      </c>
      <c r="G133" s="157">
        <f>TRUNC((G131/G132),2)</f>
        <v>4453.48</v>
      </c>
    </row>
    <row r="134" ht="15.15" spans="1:4">
      <c r="A134" s="97"/>
      <c r="B134" t="s">
        <v>238</v>
      </c>
      <c r="C134" s="116">
        <v>0.03</v>
      </c>
      <c r="D134" s="100">
        <f t="shared" si="3"/>
        <v>133.6</v>
      </c>
    </row>
    <row r="135" spans="1:4">
      <c r="A135" s="97"/>
      <c r="B135" t="s">
        <v>239</v>
      </c>
      <c r="C135" s="116">
        <v>0.05</v>
      </c>
      <c r="D135" s="100">
        <f t="shared" si="3"/>
        <v>222.67</v>
      </c>
    </row>
    <row r="136" spans="1:4">
      <c r="A136" s="97" t="s">
        <v>58</v>
      </c>
      <c r="C136" s="151"/>
      <c r="D136" s="104">
        <f>TRUNC(SUM(D130:D132),2)</f>
        <v>727.95</v>
      </c>
    </row>
    <row r="137" spans="1:4">
      <c r="A137" s="97"/>
      <c r="C137" s="151"/>
      <c r="D137" s="104"/>
    </row>
    <row r="139" spans="1:4">
      <c r="A139" s="75" t="s">
        <v>172</v>
      </c>
      <c r="B139" s="76"/>
      <c r="C139" s="76"/>
      <c r="D139" s="76"/>
    </row>
    <row r="140" spans="1:4">
      <c r="A140" s="97" t="s">
        <v>16</v>
      </c>
      <c r="B140" s="98" t="s">
        <v>173</v>
      </c>
      <c r="C140" s="98" t="s">
        <v>102</v>
      </c>
      <c r="D140" s="98" t="s">
        <v>19</v>
      </c>
    </row>
    <row r="141" spans="1:4">
      <c r="A141" s="97" t="s">
        <v>42</v>
      </c>
      <c r="B141" t="s">
        <v>36</v>
      </c>
      <c r="D141" s="104">
        <f>D31</f>
        <v>1619.68</v>
      </c>
    </row>
    <row r="142" spans="1:4">
      <c r="A142" s="97" t="s">
        <v>45</v>
      </c>
      <c r="B142" t="s">
        <v>61</v>
      </c>
      <c r="D142" s="104">
        <f>D73</f>
        <v>1614.27</v>
      </c>
    </row>
    <row r="143" spans="1:4">
      <c r="A143" s="97" t="s">
        <v>48</v>
      </c>
      <c r="B143" t="s">
        <v>108</v>
      </c>
      <c r="D143" s="104">
        <f>D83</f>
        <v>97.86</v>
      </c>
    </row>
    <row r="144" spans="1:4">
      <c r="A144" s="97" t="s">
        <v>50</v>
      </c>
      <c r="B144" t="s">
        <v>174</v>
      </c>
      <c r="D144" s="104">
        <f>D110</f>
        <v>112.27</v>
      </c>
    </row>
    <row r="145" spans="1:4">
      <c r="A145" s="97" t="s">
        <v>53</v>
      </c>
      <c r="B145" t="s">
        <v>152</v>
      </c>
      <c r="D145" s="104">
        <f>D119</f>
        <v>281.44</v>
      </c>
    </row>
    <row r="146" spans="2:4">
      <c r="B146" s="152" t="s">
        <v>240</v>
      </c>
      <c r="D146" s="104">
        <f>TRUNC(SUM(D141:D145),2)</f>
        <v>3725.52</v>
      </c>
    </row>
    <row r="147" spans="1:4">
      <c r="A147" s="97" t="s">
        <v>55</v>
      </c>
      <c r="B147" t="s">
        <v>164</v>
      </c>
      <c r="D147" s="104">
        <f>D136</f>
        <v>727.95</v>
      </c>
    </row>
    <row r="148" spans="1:4">
      <c r="A148" s="153"/>
      <c r="B148" s="154" t="s">
        <v>241</v>
      </c>
      <c r="C148" s="155"/>
      <c r="D148" s="156">
        <f>TRUNC((SUM(D141:D145)+D147),2)</f>
        <v>4453.47</v>
      </c>
    </row>
  </sheetData>
  <mergeCells count="38">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F116:G116"/>
    <mergeCell ref="H116:I116"/>
    <mergeCell ref="F117:G117"/>
    <mergeCell ref="H117:I117"/>
    <mergeCell ref="A128:D128"/>
    <mergeCell ref="F129:G129"/>
    <mergeCell ref="A139:D139"/>
    <mergeCell ref="A41:B43"/>
    <mergeCell ref="A85:B88"/>
    <mergeCell ref="A121:B126"/>
    <mergeCell ref="F118:I119"/>
  </mergeCells>
  <pageMargins left="0.75" right="0.75" top="1" bottom="1" header="0.5" footer="0.5"/>
  <pageSetup paperSize="9" scale="85"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148"/>
  <sheetViews>
    <sheetView topLeftCell="A114" workbookViewId="0">
      <selection activeCell="F25" sqref="F25"/>
    </sheetView>
  </sheetViews>
  <sheetFormatPr defaultColWidth="9.13888888888889" defaultRowHeight="14.4"/>
  <cols>
    <col min="1" max="1" width="11.287037037037" style="51" customWidth="1"/>
    <col min="2" max="2" width="48.5740740740741" customWidth="1"/>
    <col min="3" max="3" width="30" customWidth="1"/>
    <col min="4" max="4" width="41" customWidth="1"/>
    <col min="6" max="6" width="22.8611111111111" customWidth="1"/>
    <col min="7" max="7" width="15.3888888888889" customWidth="1"/>
    <col min="8" max="8" width="10.787037037037" customWidth="1"/>
    <col min="9" max="9" width="11.9074074074074" customWidth="1"/>
  </cols>
  <sheetData>
    <row r="2" ht="18.75" spans="1:4">
      <c r="A2" s="66" t="s">
        <v>177</v>
      </c>
      <c r="B2" s="67"/>
      <c r="C2" s="67"/>
      <c r="D2" s="67"/>
    </row>
    <row r="3" ht="15.15" spans="1:4">
      <c r="A3" s="68" t="s">
        <v>178</v>
      </c>
      <c r="B3" s="69"/>
      <c r="C3" s="69"/>
      <c r="D3" s="69"/>
    </row>
    <row r="4" spans="1:4">
      <c r="A4" s="70" t="s">
        <v>179</v>
      </c>
      <c r="B4" s="71" t="s">
        <v>180</v>
      </c>
      <c r="C4" s="72"/>
      <c r="D4" s="72"/>
    </row>
    <row r="5" spans="1:4">
      <c r="A5" s="73"/>
      <c r="B5" s="74"/>
      <c r="C5" s="74"/>
      <c r="D5" s="74"/>
    </row>
    <row r="6" ht="15.15" spans="1:4">
      <c r="A6" s="75" t="s">
        <v>181</v>
      </c>
      <c r="B6" s="76"/>
      <c r="C6" s="76"/>
      <c r="D6" s="76"/>
    </row>
    <row r="7" ht="15.15" spans="1:4">
      <c r="A7" s="77" t="s">
        <v>42</v>
      </c>
      <c r="B7" s="78" t="s">
        <v>182</v>
      </c>
      <c r="C7" s="79" t="s">
        <v>183</v>
      </c>
      <c r="D7" s="79"/>
    </row>
    <row r="8" spans="1:4">
      <c r="A8" s="80" t="s">
        <v>45</v>
      </c>
      <c r="B8" s="81" t="s">
        <v>184</v>
      </c>
      <c r="C8" s="82" t="s">
        <v>185</v>
      </c>
      <c r="D8" s="82"/>
    </row>
    <row r="9" spans="1:4">
      <c r="A9" s="83" t="s">
        <v>48</v>
      </c>
      <c r="B9" s="84" t="s">
        <v>186</v>
      </c>
      <c r="C9" s="82" t="s">
        <v>187</v>
      </c>
      <c r="D9" s="82"/>
    </row>
    <row r="10" spans="1:4">
      <c r="A10" s="80" t="s">
        <v>53</v>
      </c>
      <c r="B10" s="81" t="s">
        <v>188</v>
      </c>
      <c r="C10" s="82" t="s">
        <v>189</v>
      </c>
      <c r="D10" s="82"/>
    </row>
    <row r="11" ht="15.15" spans="1:4">
      <c r="A11" s="85" t="s">
        <v>190</v>
      </c>
      <c r="B11" s="86"/>
      <c r="C11" s="86"/>
      <c r="D11" s="86"/>
    </row>
    <row r="12" ht="15.9" spans="1:4">
      <c r="A12" s="87" t="s">
        <v>191</v>
      </c>
      <c r="B12" s="88"/>
      <c r="C12" s="86" t="s">
        <v>192</v>
      </c>
      <c r="D12" s="89" t="s">
        <v>193</v>
      </c>
    </row>
    <row r="13" ht="15.15" spans="1:4">
      <c r="A13" s="90" t="s">
        <v>247</v>
      </c>
      <c r="B13" s="91"/>
      <c r="C13" s="82" t="s">
        <v>195</v>
      </c>
      <c r="D13" s="92">
        <f>RESUMO!D5</f>
        <v>2</v>
      </c>
    </row>
    <row r="14" spans="1:4">
      <c r="A14" s="93"/>
      <c r="B14" s="94"/>
      <c r="C14" s="82"/>
      <c r="D14" s="95"/>
    </row>
    <row r="15" ht="15.15" spans="1:7">
      <c r="A15" s="85" t="s">
        <v>14</v>
      </c>
      <c r="B15" s="86"/>
      <c r="C15" s="86"/>
      <c r="D15" s="86"/>
      <c r="F15" s="96"/>
      <c r="G15" s="96"/>
    </row>
    <row r="16" ht="15.15" spans="1:4">
      <c r="A16" s="97" t="s">
        <v>16</v>
      </c>
      <c r="B16" t="s">
        <v>17</v>
      </c>
      <c r="C16" s="98" t="s">
        <v>18</v>
      </c>
      <c r="D16" s="98" t="s">
        <v>19</v>
      </c>
    </row>
    <row r="17" spans="1:4">
      <c r="A17" s="97">
        <v>1</v>
      </c>
      <c r="B17" t="s">
        <v>20</v>
      </c>
      <c r="C17" s="99" t="s">
        <v>102</v>
      </c>
      <c r="D17" s="99" t="str">
        <f>A13</f>
        <v>Jardineiro</v>
      </c>
    </row>
    <row r="18" spans="1:4">
      <c r="A18" s="97">
        <v>2</v>
      </c>
      <c r="B18" t="s">
        <v>23</v>
      </c>
      <c r="C18" s="99" t="s">
        <v>196</v>
      </c>
      <c r="D18" s="99" t="s">
        <v>248</v>
      </c>
    </row>
    <row r="19" spans="1:4">
      <c r="A19" s="97">
        <v>3</v>
      </c>
      <c r="B19" t="s">
        <v>26</v>
      </c>
      <c r="C19" s="99" t="str">
        <f>C9</f>
        <v>CCT PB000517/2021</v>
      </c>
      <c r="D19" s="100">
        <v>1236.84</v>
      </c>
    </row>
    <row r="20" spans="1:4">
      <c r="A20" s="97">
        <v>4</v>
      </c>
      <c r="B20" t="s">
        <v>29</v>
      </c>
      <c r="C20" s="99" t="str">
        <f>C9</f>
        <v>CCT PB000517/2021</v>
      </c>
      <c r="D20" s="101" t="s">
        <v>198</v>
      </c>
    </row>
    <row r="21" spans="1:4">
      <c r="A21" s="97">
        <v>5</v>
      </c>
      <c r="B21" t="s">
        <v>33</v>
      </c>
      <c r="C21" s="99" t="str">
        <f>C9</f>
        <v>CCT PB000517/2021</v>
      </c>
      <c r="D21" s="102" t="s">
        <v>199</v>
      </c>
    </row>
    <row r="22" spans="6:7">
      <c r="F22" s="96"/>
      <c r="G22" s="96"/>
    </row>
    <row r="23" spans="1:4">
      <c r="A23" s="75" t="s">
        <v>36</v>
      </c>
      <c r="B23" s="76"/>
      <c r="C23" s="76"/>
      <c r="D23" s="76"/>
    </row>
    <row r="24" spans="1:7">
      <c r="A24" s="97" t="s">
        <v>39</v>
      </c>
      <c r="B24" s="21" t="s">
        <v>40</v>
      </c>
      <c r="C24" s="98" t="s">
        <v>18</v>
      </c>
      <c r="D24" s="98" t="s">
        <v>19</v>
      </c>
      <c r="G24" s="103"/>
    </row>
    <row r="25" spans="1:7">
      <c r="A25" s="97" t="s">
        <v>42</v>
      </c>
      <c r="B25" t="s">
        <v>43</v>
      </c>
      <c r="C25" s="101" t="s">
        <v>249</v>
      </c>
      <c r="D25" s="100">
        <f>D19</f>
        <v>1236.84</v>
      </c>
      <c r="G25" s="103"/>
    </row>
    <row r="26" spans="1:7">
      <c r="A26" s="97" t="s">
        <v>45</v>
      </c>
      <c r="B26" t="s">
        <v>244</v>
      </c>
      <c r="C26" s="101"/>
      <c r="D26" s="100">
        <v>0</v>
      </c>
      <c r="G26" s="103"/>
    </row>
    <row r="27" spans="1:4">
      <c r="A27" s="97" t="s">
        <v>48</v>
      </c>
      <c r="B27" t="s">
        <v>245</v>
      </c>
      <c r="C27" s="101"/>
      <c r="D27" s="100">
        <v>0</v>
      </c>
    </row>
    <row r="28" spans="1:4">
      <c r="A28" s="97" t="s">
        <v>50</v>
      </c>
      <c r="B28" t="s">
        <v>51</v>
      </c>
      <c r="C28" s="101"/>
      <c r="D28" s="100">
        <v>0</v>
      </c>
    </row>
    <row r="29" spans="1:4">
      <c r="A29" s="97" t="s">
        <v>53</v>
      </c>
      <c r="B29" t="s">
        <v>54</v>
      </c>
      <c r="C29" s="101"/>
      <c r="D29" s="100">
        <v>0</v>
      </c>
    </row>
    <row r="30" spans="1:4">
      <c r="A30" s="97" t="s">
        <v>55</v>
      </c>
      <c r="B30" t="s">
        <v>56</v>
      </c>
      <c r="C30" s="101"/>
      <c r="D30" s="100">
        <v>0</v>
      </c>
    </row>
    <row r="31" spans="1:7">
      <c r="A31" s="97" t="s">
        <v>58</v>
      </c>
      <c r="C31" s="98"/>
      <c r="D31" s="104">
        <f>TRUNC((SUM(D25:D30)),2)</f>
        <v>1236.84</v>
      </c>
      <c r="F31" s="96"/>
      <c r="G31" s="96"/>
    </row>
    <row r="32" spans="2:2">
      <c r="B32" s="105" t="s">
        <v>246</v>
      </c>
    </row>
    <row r="33" spans="1:7">
      <c r="A33" s="106" t="s">
        <v>61</v>
      </c>
      <c r="B33" s="107"/>
      <c r="C33" s="107"/>
      <c r="D33" s="107"/>
      <c r="G33" s="103"/>
    </row>
    <row r="35" spans="1:4">
      <c r="A35" s="108" t="s">
        <v>63</v>
      </c>
      <c r="B35" s="96"/>
      <c r="C35" s="96"/>
      <c r="D35" s="96"/>
    </row>
    <row r="36" spans="1:4">
      <c r="A36" s="97" t="s">
        <v>65</v>
      </c>
      <c r="B36" s="21" t="s">
        <v>66</v>
      </c>
      <c r="C36" s="98" t="s">
        <v>38</v>
      </c>
      <c r="D36" s="98" t="s">
        <v>19</v>
      </c>
    </row>
    <row r="37" spans="1:7">
      <c r="A37" s="97" t="s">
        <v>42</v>
      </c>
      <c r="B37" t="s">
        <v>67</v>
      </c>
      <c r="C37" s="109">
        <f>(1/12)</f>
        <v>0.0833333333333333</v>
      </c>
      <c r="D37" s="104">
        <f>TRUNC($D$31*C37,2)</f>
        <v>103.07</v>
      </c>
      <c r="F37" s="110"/>
      <c r="G37" s="110"/>
    </row>
    <row r="38" spans="1:7">
      <c r="A38" s="97" t="s">
        <v>45</v>
      </c>
      <c r="B38" t="s">
        <v>68</v>
      </c>
      <c r="C38" s="109">
        <f>(((1+1/3)/12))</f>
        <v>0.111111111111111</v>
      </c>
      <c r="D38" s="104">
        <f>TRUNC($D$31*C38,2)</f>
        <v>137.42</v>
      </c>
      <c r="F38" s="110"/>
      <c r="G38" s="110"/>
    </row>
    <row r="39" spans="1:7">
      <c r="A39" s="97" t="s">
        <v>58</v>
      </c>
      <c r="D39" s="104">
        <f>TRUNC((SUM(D37:D38)),2)</f>
        <v>240.49</v>
      </c>
      <c r="F39" s="110"/>
      <c r="G39" s="110"/>
    </row>
    <row r="40" ht="15.15" spans="4:7">
      <c r="D40" s="104"/>
      <c r="F40" s="110"/>
      <c r="G40" s="110"/>
    </row>
    <row r="41" ht="15.9" spans="1:7">
      <c r="A41" s="106" t="s">
        <v>202</v>
      </c>
      <c r="B41" s="106"/>
      <c r="C41" s="111" t="s">
        <v>203</v>
      </c>
      <c r="D41" s="112">
        <f>D31</f>
        <v>1236.84</v>
      </c>
      <c r="F41" s="110"/>
      <c r="G41" s="110"/>
    </row>
    <row r="42" ht="15.9" spans="1:7">
      <c r="A42" s="106"/>
      <c r="B42" s="106"/>
      <c r="C42" s="113" t="s">
        <v>204</v>
      </c>
      <c r="D42" s="112">
        <f>D39</f>
        <v>240.49</v>
      </c>
      <c r="F42" s="110"/>
      <c r="G42" s="110"/>
    </row>
    <row r="43" ht="15.9" spans="1:7">
      <c r="A43" s="106"/>
      <c r="B43" s="106"/>
      <c r="C43" s="111" t="s">
        <v>205</v>
      </c>
      <c r="D43" s="114">
        <f>TRUNC((SUM(D41:D42)),2)</f>
        <v>1477.33</v>
      </c>
      <c r="F43" s="110"/>
      <c r="G43" s="110"/>
    </row>
    <row r="44" ht="15.15" spans="1:7">
      <c r="A44" s="97"/>
      <c r="C44" s="115"/>
      <c r="D44" s="104"/>
      <c r="F44" s="110"/>
      <c r="G44" s="110"/>
    </row>
    <row r="45" spans="1:4">
      <c r="A45" s="108" t="s">
        <v>77</v>
      </c>
      <c r="B45" s="96"/>
      <c r="C45" s="96"/>
      <c r="D45" s="96"/>
    </row>
    <row r="46" spans="1:4">
      <c r="A46" s="97" t="s">
        <v>78</v>
      </c>
      <c r="B46" s="21" t="s">
        <v>79</v>
      </c>
      <c r="C46" s="98" t="s">
        <v>38</v>
      </c>
      <c r="D46" s="98" t="s">
        <v>80</v>
      </c>
    </row>
    <row r="47" spans="1:4">
      <c r="A47" s="97" t="s">
        <v>42</v>
      </c>
      <c r="B47" t="s">
        <v>81</v>
      </c>
      <c r="C47" s="109">
        <v>0.2</v>
      </c>
      <c r="D47" s="104">
        <f t="shared" ref="D47:D54" si="0">TRUNC(($D$43*C47),2)</f>
        <v>295.46</v>
      </c>
    </row>
    <row r="48" spans="1:4">
      <c r="A48" s="97" t="s">
        <v>45</v>
      </c>
      <c r="B48" t="s">
        <v>82</v>
      </c>
      <c r="C48" s="109">
        <v>0.025</v>
      </c>
      <c r="D48" s="104">
        <f t="shared" si="0"/>
        <v>36.93</v>
      </c>
    </row>
    <row r="49" spans="1:4">
      <c r="A49" s="97" t="s">
        <v>48</v>
      </c>
      <c r="B49" t="s">
        <v>206</v>
      </c>
      <c r="C49" s="116">
        <v>0.06</v>
      </c>
      <c r="D49" s="100">
        <f t="shared" si="0"/>
        <v>88.63</v>
      </c>
    </row>
    <row r="50" spans="1:4">
      <c r="A50" s="97" t="s">
        <v>50</v>
      </c>
      <c r="B50" t="s">
        <v>84</v>
      </c>
      <c r="C50" s="109">
        <v>0.015</v>
      </c>
      <c r="D50" s="104">
        <f t="shared" si="0"/>
        <v>22.15</v>
      </c>
    </row>
    <row r="51" spans="1:4">
      <c r="A51" s="97" t="s">
        <v>53</v>
      </c>
      <c r="B51" t="s">
        <v>85</v>
      </c>
      <c r="C51" s="109">
        <v>0.01</v>
      </c>
      <c r="D51" s="104">
        <f t="shared" si="0"/>
        <v>14.77</v>
      </c>
    </row>
    <row r="52" spans="1:4">
      <c r="A52" s="97" t="s">
        <v>55</v>
      </c>
      <c r="B52" t="s">
        <v>86</v>
      </c>
      <c r="C52" s="109">
        <v>0.006</v>
      </c>
      <c r="D52" s="104">
        <f t="shared" si="0"/>
        <v>8.86</v>
      </c>
    </row>
    <row r="53" spans="1:4">
      <c r="A53" s="97" t="s">
        <v>87</v>
      </c>
      <c r="B53" t="s">
        <v>88</v>
      </c>
      <c r="C53" s="109">
        <v>0.002</v>
      </c>
      <c r="D53" s="104">
        <f t="shared" si="0"/>
        <v>2.95</v>
      </c>
    </row>
    <row r="54" spans="1:4">
      <c r="A54" s="97" t="s">
        <v>89</v>
      </c>
      <c r="B54" t="s">
        <v>90</v>
      </c>
      <c r="C54" s="109">
        <v>0.08</v>
      </c>
      <c r="D54" s="104">
        <f t="shared" si="0"/>
        <v>118.18</v>
      </c>
    </row>
    <row r="55" spans="1:4">
      <c r="A55" s="97" t="s">
        <v>58</v>
      </c>
      <c r="C55" s="115">
        <f>SUM(C47:C54)</f>
        <v>0.398</v>
      </c>
      <c r="D55" s="104">
        <f>TRUNC((SUM(D47:D54)),2)</f>
        <v>587.93</v>
      </c>
    </row>
    <row r="56" spans="1:4">
      <c r="A56" s="97"/>
      <c r="C56" s="115"/>
      <c r="D56" s="104"/>
    </row>
    <row r="57" spans="1:4">
      <c r="A57" s="108" t="s">
        <v>95</v>
      </c>
      <c r="B57" s="96"/>
      <c r="C57" s="96"/>
      <c r="D57" s="96"/>
    </row>
    <row r="58" spans="1:4">
      <c r="A58" s="97" t="s">
        <v>96</v>
      </c>
      <c r="B58" s="21" t="s">
        <v>97</v>
      </c>
      <c r="C58" s="98" t="s">
        <v>18</v>
      </c>
      <c r="D58" s="98" t="s">
        <v>19</v>
      </c>
    </row>
    <row r="59" spans="1:4">
      <c r="A59" s="97" t="s">
        <v>42</v>
      </c>
      <c r="B59" t="s">
        <v>98</v>
      </c>
      <c r="C59" s="99"/>
      <c r="D59" s="117">
        <f>TRUNC(((22*4.4)*2)-((D25/100)*6),2)</f>
        <v>119.38</v>
      </c>
    </row>
    <row r="60" spans="1:4">
      <c r="A60" s="97" t="s">
        <v>45</v>
      </c>
      <c r="B60" t="s">
        <v>99</v>
      </c>
      <c r="C60" s="99" t="str">
        <f>C9</f>
        <v>CCT PB000517/2021</v>
      </c>
      <c r="D60" s="100">
        <f>TRUNC((((22*20.91))-(((22*20.91))*0.2)),2)</f>
        <v>368.01</v>
      </c>
    </row>
    <row r="61" spans="1:4">
      <c r="A61" s="97" t="s">
        <v>48</v>
      </c>
      <c r="B61" t="s">
        <v>100</v>
      </c>
      <c r="C61" s="99"/>
      <c r="D61" s="100">
        <v>0</v>
      </c>
    </row>
    <row r="62" spans="1:6">
      <c r="A62" s="97" t="s">
        <v>50</v>
      </c>
      <c r="B62" s="118" t="s">
        <v>207</v>
      </c>
      <c r="C62" s="119"/>
      <c r="D62" s="119">
        <v>0</v>
      </c>
      <c r="F62" s="118"/>
    </row>
    <row r="63" spans="1:4">
      <c r="A63" s="97" t="s">
        <v>53</v>
      </c>
      <c r="B63" s="21" t="s">
        <v>208</v>
      </c>
      <c r="C63" s="99" t="str">
        <f>C60</f>
        <v>CCT PB000517/2021</v>
      </c>
      <c r="D63" s="100">
        <v>20</v>
      </c>
    </row>
    <row r="64" spans="1:4">
      <c r="A64" s="97" t="s">
        <v>55</v>
      </c>
      <c r="B64" s="120" t="s">
        <v>209</v>
      </c>
      <c r="C64" s="99" t="str">
        <f>C9</f>
        <v>CCT PB000517/2021</v>
      </c>
      <c r="D64" s="100">
        <v>5</v>
      </c>
    </row>
    <row r="65" spans="1:4">
      <c r="A65" s="97" t="s">
        <v>87</v>
      </c>
      <c r="B65" s="120" t="s">
        <v>210</v>
      </c>
      <c r="C65" s="119" t="str">
        <f>C60</f>
        <v>CCT PB000517/2021</v>
      </c>
      <c r="D65" s="100">
        <v>40</v>
      </c>
    </row>
    <row r="66" spans="1:4">
      <c r="A66" s="97" t="s">
        <v>58</v>
      </c>
      <c r="D66" s="104">
        <f>TRUNC((SUM(D59:D65)),2)</f>
        <v>552.39</v>
      </c>
    </row>
    <row r="67" spans="1:4">
      <c r="A67" s="97"/>
      <c r="D67" s="104"/>
    </row>
    <row r="68" spans="1:4">
      <c r="A68" s="108" t="s">
        <v>105</v>
      </c>
      <c r="B68" s="96"/>
      <c r="C68" s="96"/>
      <c r="D68" s="96"/>
    </row>
    <row r="69" spans="1:4">
      <c r="A69" s="97" t="s">
        <v>106</v>
      </c>
      <c r="B69" s="21" t="s">
        <v>107</v>
      </c>
      <c r="C69" s="98" t="s">
        <v>18</v>
      </c>
      <c r="D69" s="98" t="s">
        <v>19</v>
      </c>
    </row>
    <row r="70" spans="1:4">
      <c r="A70" s="97" t="s">
        <v>65</v>
      </c>
      <c r="B70" t="s">
        <v>66</v>
      </c>
      <c r="C70" s="98"/>
      <c r="D70" s="104">
        <f>D39</f>
        <v>240.49</v>
      </c>
    </row>
    <row r="71" spans="1:4">
      <c r="A71" s="97" t="s">
        <v>78</v>
      </c>
      <c r="B71" t="s">
        <v>79</v>
      </c>
      <c r="C71" s="98"/>
      <c r="D71" s="104">
        <f>D55</f>
        <v>587.93</v>
      </c>
    </row>
    <row r="72" spans="1:4">
      <c r="A72" s="97" t="s">
        <v>96</v>
      </c>
      <c r="B72" t="s">
        <v>97</v>
      </c>
      <c r="C72" s="98"/>
      <c r="D72" s="104">
        <f>D66</f>
        <v>552.39</v>
      </c>
    </row>
    <row r="73" spans="1:4">
      <c r="A73" s="97" t="s">
        <v>58</v>
      </c>
      <c r="C73" s="98"/>
      <c r="D73" s="104">
        <f>TRUNC((SUM(D70:D72)),2)</f>
        <v>1380.81</v>
      </c>
    </row>
    <row r="75" spans="1:4">
      <c r="A75" s="75" t="s">
        <v>108</v>
      </c>
      <c r="B75" s="76"/>
      <c r="C75" s="76"/>
      <c r="D75" s="76"/>
    </row>
    <row r="76" spans="1:4">
      <c r="A76" s="97" t="s">
        <v>109</v>
      </c>
      <c r="B76" s="21" t="s">
        <v>110</v>
      </c>
      <c r="C76" s="98" t="s">
        <v>38</v>
      </c>
      <c r="D76" s="98" t="s">
        <v>19</v>
      </c>
    </row>
    <row r="77" spans="1:4">
      <c r="A77" s="97" t="s">
        <v>42</v>
      </c>
      <c r="B77" t="s">
        <v>111</v>
      </c>
      <c r="C77" s="116">
        <f>((1/12)*2%)</f>
        <v>0.00166666666666667</v>
      </c>
      <c r="D77" s="100">
        <f t="shared" ref="D77:D80" si="1">TRUNC(($D$31*C77),2)</f>
        <v>2.06</v>
      </c>
    </row>
    <row r="78" spans="1:4">
      <c r="A78" s="97" t="s">
        <v>45</v>
      </c>
      <c r="B78" t="s">
        <v>112</v>
      </c>
      <c r="C78" s="121">
        <v>0.08</v>
      </c>
      <c r="D78" s="104">
        <f>TRUNC(($D$77*C78),2)</f>
        <v>0.16</v>
      </c>
    </row>
    <row r="79" ht="28.8" spans="1:4">
      <c r="A79" s="97" t="s">
        <v>48</v>
      </c>
      <c r="B79" s="122" t="s">
        <v>113</v>
      </c>
      <c r="C79" s="123">
        <f>(0.08*0.4*0.02)</f>
        <v>0.00064</v>
      </c>
      <c r="D79" s="119">
        <f t="shared" si="1"/>
        <v>0.79</v>
      </c>
    </row>
    <row r="80" spans="1:4">
      <c r="A80" s="97" t="s">
        <v>50</v>
      </c>
      <c r="B80" t="s">
        <v>114</v>
      </c>
      <c r="C80" s="121">
        <f>(((7/30)/12)*0.98)</f>
        <v>0.0190555555555556</v>
      </c>
      <c r="D80" s="104">
        <f t="shared" si="1"/>
        <v>23.56</v>
      </c>
    </row>
    <row r="81" ht="28.8" spans="1:4">
      <c r="A81" s="97" t="s">
        <v>53</v>
      </c>
      <c r="B81" s="122" t="s">
        <v>211</v>
      </c>
      <c r="C81" s="123">
        <f>C55</f>
        <v>0.398</v>
      </c>
      <c r="D81" s="119">
        <f>TRUNC(($D$80*C81),2)</f>
        <v>9.37</v>
      </c>
    </row>
    <row r="82" ht="28.8" spans="1:4">
      <c r="A82" s="97" t="s">
        <v>55</v>
      </c>
      <c r="B82" s="122" t="s">
        <v>115</v>
      </c>
      <c r="C82" s="123">
        <f>(0.08*0.4*0.98)</f>
        <v>0.03136</v>
      </c>
      <c r="D82" s="119">
        <f>TRUNC(($D$31*C82),2)</f>
        <v>38.78</v>
      </c>
    </row>
    <row r="83" spans="1:4">
      <c r="A83" s="97" t="s">
        <v>58</v>
      </c>
      <c r="C83" s="121">
        <f>SUM(C77:C82)</f>
        <v>0.530722222222222</v>
      </c>
      <c r="D83" s="104">
        <f>TRUNC((SUM(D77:D82)),2)</f>
        <v>74.72</v>
      </c>
    </row>
    <row r="84" ht="15.15" spans="1:4">
      <c r="A84" s="97"/>
      <c r="D84" s="104"/>
    </row>
    <row r="85" ht="15.9" spans="1:4">
      <c r="A85" s="106" t="s">
        <v>212</v>
      </c>
      <c r="B85" s="106"/>
      <c r="C85" s="111" t="s">
        <v>203</v>
      </c>
      <c r="D85" s="112">
        <f>D31</f>
        <v>1236.84</v>
      </c>
    </row>
    <row r="86" ht="15.9" spans="1:4">
      <c r="A86" s="106"/>
      <c r="B86" s="106"/>
      <c r="C86" s="113" t="s">
        <v>213</v>
      </c>
      <c r="D86" s="112">
        <f>D73</f>
        <v>1380.81</v>
      </c>
    </row>
    <row r="87" ht="15.9" spans="1:4">
      <c r="A87" s="106"/>
      <c r="B87" s="106"/>
      <c r="C87" s="111" t="s">
        <v>214</v>
      </c>
      <c r="D87" s="112">
        <f>D83</f>
        <v>74.72</v>
      </c>
    </row>
    <row r="88" ht="15.9" spans="1:4">
      <c r="A88" s="106"/>
      <c r="B88" s="106"/>
      <c r="C88" s="113" t="s">
        <v>205</v>
      </c>
      <c r="D88" s="114">
        <f>TRUNC((SUM(D85:D87)),2)</f>
        <v>2692.37</v>
      </c>
    </row>
    <row r="89" ht="15.15" spans="1:4">
      <c r="A89" s="97"/>
      <c r="D89" s="104"/>
    </row>
    <row r="90" spans="1:4">
      <c r="A90" s="124" t="s">
        <v>127</v>
      </c>
      <c r="B90" s="125"/>
      <c r="C90" s="125"/>
      <c r="D90" s="125"/>
    </row>
    <row r="91" spans="1:4">
      <c r="A91" s="108" t="s">
        <v>128</v>
      </c>
      <c r="B91" s="96"/>
      <c r="C91" s="96"/>
      <c r="D91" s="96"/>
    </row>
    <row r="92" spans="1:4">
      <c r="A92" s="97" t="s">
        <v>129</v>
      </c>
      <c r="B92" s="21" t="s">
        <v>130</v>
      </c>
      <c r="C92" s="98" t="s">
        <v>38</v>
      </c>
      <c r="D92" s="98" t="s">
        <v>19</v>
      </c>
    </row>
    <row r="93" spans="1:4">
      <c r="A93" s="97" t="s">
        <v>42</v>
      </c>
      <c r="B93" t="s">
        <v>132</v>
      </c>
      <c r="C93" s="121">
        <f>(((1+1/3)/12)/12)+((1/12)/12)</f>
        <v>0.0162037037037037</v>
      </c>
      <c r="D93" s="104">
        <f t="shared" ref="D93:D97" si="2">TRUNC(($D$88*C93),2)</f>
        <v>43.62</v>
      </c>
    </row>
    <row r="94" spans="1:4">
      <c r="A94" s="97" t="s">
        <v>45</v>
      </c>
      <c r="B94" t="s">
        <v>133</v>
      </c>
      <c r="C94" s="116">
        <f>((5/30)/12)</f>
        <v>0.0138888888888889</v>
      </c>
      <c r="D94" s="119">
        <f t="shared" si="2"/>
        <v>37.39</v>
      </c>
    </row>
    <row r="95" spans="1:4">
      <c r="A95" s="97" t="s">
        <v>48</v>
      </c>
      <c r="B95" t="s">
        <v>134</v>
      </c>
      <c r="C95" s="116">
        <f>((5/30)/12)*0.02</f>
        <v>0.000277777777777778</v>
      </c>
      <c r="D95" s="119">
        <f t="shared" si="2"/>
        <v>0.74</v>
      </c>
    </row>
    <row r="96" ht="28.8" spans="1:4">
      <c r="A96" s="97" t="s">
        <v>50</v>
      </c>
      <c r="B96" s="122" t="s">
        <v>135</v>
      </c>
      <c r="C96" s="123">
        <f>((15/30)/12)*0.08</f>
        <v>0.00333333333333333</v>
      </c>
      <c r="D96" s="119">
        <f t="shared" si="2"/>
        <v>8.97</v>
      </c>
    </row>
    <row r="97" spans="1:4">
      <c r="A97" s="97" t="s">
        <v>53</v>
      </c>
      <c r="B97" t="s">
        <v>136</v>
      </c>
      <c r="C97" s="116">
        <f>((1+1/3)/12)*0.00001*((4/12))</f>
        <v>3.7037037037037e-7</v>
      </c>
      <c r="D97" s="119">
        <f t="shared" si="2"/>
        <v>0</v>
      </c>
    </row>
    <row r="98" spans="1:4">
      <c r="A98" s="97" t="s">
        <v>55</v>
      </c>
      <c r="B98" s="122" t="s">
        <v>215</v>
      </c>
      <c r="C98" s="126">
        <v>0</v>
      </c>
      <c r="D98" s="119">
        <f>TRUNC($D$88*C98)</f>
        <v>0</v>
      </c>
    </row>
    <row r="99" spans="1:4">
      <c r="A99" s="97" t="s">
        <v>58</v>
      </c>
      <c r="C99" s="121">
        <f>SUBTOTAL(109,Submódulo4.159[Percentual])</f>
        <v>0.0337040740740741</v>
      </c>
      <c r="D99" s="104">
        <f>TRUNC((SUM(D93:D98)),2)</f>
        <v>90.72</v>
      </c>
    </row>
    <row r="100" spans="1:4">
      <c r="A100" s="97"/>
      <c r="C100" s="98"/>
      <c r="D100" s="104"/>
    </row>
    <row r="101" spans="1:4">
      <c r="A101" s="108" t="s">
        <v>144</v>
      </c>
      <c r="B101" s="96"/>
      <c r="C101" s="96"/>
      <c r="D101" s="96"/>
    </row>
    <row r="102" spans="1:4">
      <c r="A102" s="97" t="s">
        <v>145</v>
      </c>
      <c r="B102" s="21" t="s">
        <v>146</v>
      </c>
      <c r="C102" s="98" t="s">
        <v>18</v>
      </c>
      <c r="D102" s="98" t="s">
        <v>19</v>
      </c>
    </row>
    <row r="103" ht="72" spans="1:4">
      <c r="A103" s="97" t="s">
        <v>42</v>
      </c>
      <c r="B103" s="127" t="s">
        <v>147</v>
      </c>
      <c r="C103" s="128" t="s">
        <v>216</v>
      </c>
      <c r="D103" s="129" t="s">
        <v>217</v>
      </c>
    </row>
    <row r="104" spans="1:4">
      <c r="A104" s="97" t="s">
        <v>58</v>
      </c>
      <c r="C104" s="130"/>
      <c r="D104" s="131" t="str">
        <f>D103</f>
        <v>*=TRUNCAR(($D$86/220)*(1*(365/12))/2)</v>
      </c>
    </row>
    <row r="106" spans="1:4">
      <c r="A106" s="108" t="s">
        <v>148</v>
      </c>
      <c r="B106" s="96"/>
      <c r="C106" s="96"/>
      <c r="D106" s="96"/>
    </row>
    <row r="107" spans="1:4">
      <c r="A107" s="97" t="s">
        <v>149</v>
      </c>
      <c r="B107" s="21" t="s">
        <v>150</v>
      </c>
      <c r="C107" s="98" t="s">
        <v>18</v>
      </c>
      <c r="D107" s="98" t="s">
        <v>19</v>
      </c>
    </row>
    <row r="108" spans="1:4">
      <c r="A108" s="97" t="s">
        <v>129</v>
      </c>
      <c r="B108" t="s">
        <v>130</v>
      </c>
      <c r="D108" s="100">
        <f>D99</f>
        <v>90.72</v>
      </c>
    </row>
    <row r="109" spans="1:4">
      <c r="A109" s="97" t="s">
        <v>145</v>
      </c>
      <c r="B109" t="s">
        <v>151</v>
      </c>
      <c r="C109" s="21"/>
      <c r="D109" s="132" t="str">
        <f>Submódulo4.260[[#Totals],[Valor]]</f>
        <v>*=TRUNCAR(($D$86/220)*(1*(365/12))/2)</v>
      </c>
    </row>
    <row r="110" ht="43.2" spans="1:4">
      <c r="A110" s="97" t="s">
        <v>58</v>
      </c>
      <c r="B110" s="118"/>
      <c r="C110" s="128" t="s">
        <v>218</v>
      </c>
      <c r="D110" s="133">
        <f>TRUNC((SUM(D108:D109)),2)</f>
        <v>90.72</v>
      </c>
    </row>
    <row r="112" spans="1:4">
      <c r="A112" s="75" t="s">
        <v>152</v>
      </c>
      <c r="B112" s="76"/>
      <c r="C112" s="76"/>
      <c r="D112" s="76"/>
    </row>
    <row r="113" ht="29.55" spans="1:9">
      <c r="A113" s="97" t="s">
        <v>153</v>
      </c>
      <c r="B113" s="21" t="s">
        <v>154</v>
      </c>
      <c r="C113" s="98" t="s">
        <v>18</v>
      </c>
      <c r="D113" s="98" t="s">
        <v>19</v>
      </c>
      <c r="F113" s="134" t="s">
        <v>219</v>
      </c>
      <c r="G113" s="135" t="s">
        <v>220</v>
      </c>
      <c r="H113" s="135" t="s">
        <v>221</v>
      </c>
      <c r="I113" s="135" t="s">
        <v>222</v>
      </c>
    </row>
    <row r="114" ht="15.9" spans="1:9">
      <c r="A114" s="97" t="s">
        <v>42</v>
      </c>
      <c r="B114" t="s">
        <v>223</v>
      </c>
      <c r="D114" s="136">
        <f>'Uniformes e EPI'!G61</f>
        <v>73.73</v>
      </c>
      <c r="F114" s="137" t="s">
        <v>224</v>
      </c>
      <c r="G114" s="138">
        <v>0</v>
      </c>
      <c r="H114" s="139">
        <v>70</v>
      </c>
      <c r="I114" s="139">
        <f>TRUNC(H114*G114,2)</f>
        <v>0</v>
      </c>
    </row>
    <row r="115" ht="15.9" spans="1:9">
      <c r="A115" s="97" t="s">
        <v>45</v>
      </c>
      <c r="B115" t="s">
        <v>225</v>
      </c>
      <c r="D115" s="136">
        <f>EPC!E21</f>
        <v>19.06</v>
      </c>
      <c r="F115" s="140" t="s">
        <v>226</v>
      </c>
      <c r="G115" s="141">
        <v>0</v>
      </c>
      <c r="H115" s="142">
        <v>35</v>
      </c>
      <c r="I115" s="139">
        <f>TRUNC(H115*G115,2)</f>
        <v>0</v>
      </c>
    </row>
    <row r="116" ht="15.15" spans="1:9">
      <c r="A116" s="97" t="s">
        <v>48</v>
      </c>
      <c r="B116" t="s">
        <v>156</v>
      </c>
      <c r="D116" s="136">
        <f>'Equipamentos e Materiais'!E101</f>
        <v>148.48</v>
      </c>
      <c r="F116" s="143" t="s">
        <v>205</v>
      </c>
      <c r="G116" s="144"/>
      <c r="H116" s="145">
        <f>TRUNC(SUM(I114:I115),2)</f>
        <v>0</v>
      </c>
      <c r="I116" s="147"/>
    </row>
    <row r="117" spans="1:9">
      <c r="A117" s="97" t="s">
        <v>50</v>
      </c>
      <c r="B117" t="s">
        <v>157</v>
      </c>
      <c r="D117" s="136">
        <f>'Equipamentos e Materiais'!F132</f>
        <v>11.49</v>
      </c>
      <c r="F117" s="143" t="s">
        <v>227</v>
      </c>
      <c r="G117" s="144"/>
      <c r="H117" s="145">
        <f>TRUNC(H116/12,2)</f>
        <v>0</v>
      </c>
      <c r="I117" s="147"/>
    </row>
    <row r="118" spans="1:9">
      <c r="A118" s="97" t="s">
        <v>53</v>
      </c>
      <c r="B118" t="s">
        <v>228</v>
      </c>
      <c r="D118" s="136">
        <f>H117</f>
        <v>0</v>
      </c>
      <c r="F118" s="146" t="s">
        <v>229</v>
      </c>
      <c r="G118" s="146"/>
      <c r="H118" s="146"/>
      <c r="I118" s="146"/>
    </row>
    <row r="119" spans="1:9">
      <c r="A119" s="97" t="s">
        <v>58</v>
      </c>
      <c r="D119" s="104">
        <f>TRUNC(SUM(D114:D118),2)</f>
        <v>252.76</v>
      </c>
      <c r="F119" s="146"/>
      <c r="G119" s="146"/>
      <c r="H119" s="146"/>
      <c r="I119" s="146"/>
    </row>
    <row r="120" ht="15.15"/>
    <row r="121" ht="15.9" spans="1:4">
      <c r="A121" s="106" t="s">
        <v>230</v>
      </c>
      <c r="B121" s="106"/>
      <c r="C121" s="111" t="s">
        <v>203</v>
      </c>
      <c r="D121" s="112">
        <f>D31</f>
        <v>1236.84</v>
      </c>
    </row>
    <row r="122" ht="15.9" spans="1:4">
      <c r="A122" s="106"/>
      <c r="B122" s="106"/>
      <c r="C122" s="113" t="s">
        <v>213</v>
      </c>
      <c r="D122" s="112">
        <f>D73</f>
        <v>1380.81</v>
      </c>
    </row>
    <row r="123" ht="15.9" spans="1:4">
      <c r="A123" s="106"/>
      <c r="B123" s="106"/>
      <c r="C123" s="111" t="s">
        <v>214</v>
      </c>
      <c r="D123" s="112">
        <f>D83</f>
        <v>74.72</v>
      </c>
    </row>
    <row r="124" ht="15.9" spans="1:4">
      <c r="A124" s="106"/>
      <c r="B124" s="106"/>
      <c r="C124" s="113" t="s">
        <v>231</v>
      </c>
      <c r="D124" s="112">
        <f>D110</f>
        <v>90.72</v>
      </c>
    </row>
    <row r="125" ht="15.9" spans="1:4">
      <c r="A125" s="106"/>
      <c r="B125" s="106"/>
      <c r="C125" s="111" t="s">
        <v>232</v>
      </c>
      <c r="D125" s="112">
        <f>D119</f>
        <v>252.76</v>
      </c>
    </row>
    <row r="126" ht="15.9" spans="1:4">
      <c r="A126" s="106"/>
      <c r="B126" s="106"/>
      <c r="C126" s="113" t="s">
        <v>205</v>
      </c>
      <c r="D126" s="114">
        <f>TRUNC((SUM(D121:D125)),2)</f>
        <v>3035.85</v>
      </c>
    </row>
    <row r="127" ht="15.15"/>
    <row r="128" spans="1:4">
      <c r="A128" s="75" t="s">
        <v>164</v>
      </c>
      <c r="B128" s="76"/>
      <c r="C128" s="76"/>
      <c r="D128" s="76"/>
    </row>
    <row r="129" ht="15.15" spans="1:7">
      <c r="A129" s="97" t="s">
        <v>165</v>
      </c>
      <c r="B129" t="s">
        <v>166</v>
      </c>
      <c r="C129" s="98" t="s">
        <v>38</v>
      </c>
      <c r="D129" s="98" t="s">
        <v>19</v>
      </c>
      <c r="F129" s="134" t="s">
        <v>233</v>
      </c>
      <c r="G129" s="134"/>
    </row>
    <row r="130" ht="15.15" spans="1:7">
      <c r="A130" s="97" t="s">
        <v>42</v>
      </c>
      <c r="B130" t="s">
        <v>167</v>
      </c>
      <c r="C130" s="116">
        <v>0.04</v>
      </c>
      <c r="D130" s="100">
        <f>TRUNC(($D$126*C130),2)</f>
        <v>121.43</v>
      </c>
      <c r="F130" s="137" t="s">
        <v>234</v>
      </c>
      <c r="G130" s="123">
        <f>C132</f>
        <v>0.0865</v>
      </c>
    </row>
    <row r="131" ht="15.15" spans="1:7">
      <c r="A131" s="97" t="s">
        <v>45</v>
      </c>
      <c r="B131" t="s">
        <v>59</v>
      </c>
      <c r="C131" s="116">
        <v>0.05</v>
      </c>
      <c r="D131" s="100">
        <f>TRUNC((C131*(D126+D130)),2)</f>
        <v>157.86</v>
      </c>
      <c r="F131" s="148" t="s">
        <v>235</v>
      </c>
      <c r="G131" s="149">
        <f>TRUNC(SUM(D126,D130,D131),2)</f>
        <v>3315.14</v>
      </c>
    </row>
    <row r="132" ht="15.15" spans="1:7">
      <c r="A132" s="97" t="s">
        <v>48</v>
      </c>
      <c r="B132" t="s">
        <v>168</v>
      </c>
      <c r="C132" s="116">
        <f>SUM(C133:C135)</f>
        <v>0.0865</v>
      </c>
      <c r="D132" s="100">
        <f>TRUNC((SUM(D133:D135)),2)</f>
        <v>313.9</v>
      </c>
      <c r="F132" s="137" t="s">
        <v>236</v>
      </c>
      <c r="G132" s="150">
        <f>(100-8.65)/100</f>
        <v>0.9135</v>
      </c>
    </row>
    <row r="133" ht="15.15" spans="1:7">
      <c r="A133" s="97"/>
      <c r="B133" t="s">
        <v>237</v>
      </c>
      <c r="C133" s="116">
        <v>0.0065</v>
      </c>
      <c r="D133" s="100">
        <f t="shared" ref="D133:D135" si="3">TRUNC(($G$133*C133),2)</f>
        <v>23.58</v>
      </c>
      <c r="F133" s="148" t="s">
        <v>233</v>
      </c>
      <c r="G133" s="149">
        <f>TRUNC((G131/G132),2)</f>
        <v>3629.05</v>
      </c>
    </row>
    <row r="134" ht="15.15" spans="1:4">
      <c r="A134" s="97"/>
      <c r="B134" t="s">
        <v>238</v>
      </c>
      <c r="C134" s="116">
        <v>0.03</v>
      </c>
      <c r="D134" s="100">
        <f t="shared" si="3"/>
        <v>108.87</v>
      </c>
    </row>
    <row r="135" spans="1:4">
      <c r="A135" s="97"/>
      <c r="B135" t="s">
        <v>239</v>
      </c>
      <c r="C135" s="116">
        <v>0.05</v>
      </c>
      <c r="D135" s="100">
        <f t="shared" si="3"/>
        <v>181.45</v>
      </c>
    </row>
    <row r="136" spans="1:4">
      <c r="A136" s="97" t="s">
        <v>58</v>
      </c>
      <c r="C136" s="151"/>
      <c r="D136" s="104">
        <f>TRUNC(SUM(D130:D132),2)</f>
        <v>593.19</v>
      </c>
    </row>
    <row r="137" spans="1:4">
      <c r="A137" s="97"/>
      <c r="C137" s="151"/>
      <c r="D137" s="104"/>
    </row>
    <row r="139" spans="1:4">
      <c r="A139" s="75" t="s">
        <v>172</v>
      </c>
      <c r="B139" s="76"/>
      <c r="C139" s="76"/>
      <c r="D139" s="76"/>
    </row>
    <row r="140" spans="1:4">
      <c r="A140" s="97" t="s">
        <v>16</v>
      </c>
      <c r="B140" s="98" t="s">
        <v>173</v>
      </c>
      <c r="C140" s="98" t="s">
        <v>102</v>
      </c>
      <c r="D140" s="98" t="s">
        <v>19</v>
      </c>
    </row>
    <row r="141" spans="1:4">
      <c r="A141" s="97" t="s">
        <v>42</v>
      </c>
      <c r="B141" t="s">
        <v>36</v>
      </c>
      <c r="D141" s="104">
        <f>D31</f>
        <v>1236.84</v>
      </c>
    </row>
    <row r="142" spans="1:4">
      <c r="A142" s="97" t="s">
        <v>45</v>
      </c>
      <c r="B142" t="s">
        <v>61</v>
      </c>
      <c r="D142" s="104">
        <f>D73</f>
        <v>1380.81</v>
      </c>
    </row>
    <row r="143" spans="1:4">
      <c r="A143" s="97" t="s">
        <v>48</v>
      </c>
      <c r="B143" t="s">
        <v>108</v>
      </c>
      <c r="D143" s="104">
        <f>D83</f>
        <v>74.72</v>
      </c>
    </row>
    <row r="144" spans="1:4">
      <c r="A144" s="97" t="s">
        <v>50</v>
      </c>
      <c r="B144" t="s">
        <v>174</v>
      </c>
      <c r="D144" s="104">
        <f>D110</f>
        <v>90.72</v>
      </c>
    </row>
    <row r="145" spans="1:4">
      <c r="A145" s="97" t="s">
        <v>53</v>
      </c>
      <c r="B145" t="s">
        <v>152</v>
      </c>
      <c r="D145" s="104">
        <f>D119</f>
        <v>252.76</v>
      </c>
    </row>
    <row r="146" spans="2:4">
      <c r="B146" s="152" t="s">
        <v>240</v>
      </c>
      <c r="D146" s="104">
        <f>TRUNC(SUM(D141:D145),2)</f>
        <v>3035.85</v>
      </c>
    </row>
    <row r="147" spans="1:4">
      <c r="A147" s="97" t="s">
        <v>55</v>
      </c>
      <c r="B147" t="s">
        <v>164</v>
      </c>
      <c r="D147" s="104">
        <f>D136</f>
        <v>593.19</v>
      </c>
    </row>
    <row r="148" spans="1:4">
      <c r="A148" s="153"/>
      <c r="B148" s="154" t="s">
        <v>241</v>
      </c>
      <c r="C148" s="155"/>
      <c r="D148" s="156">
        <f>TRUNC((SUM(D141:D145)+D147),2)</f>
        <v>3629.04</v>
      </c>
    </row>
  </sheetData>
  <mergeCells count="38">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F116:G116"/>
    <mergeCell ref="H116:I116"/>
    <mergeCell ref="F117:G117"/>
    <mergeCell ref="H117:I117"/>
    <mergeCell ref="A128:D128"/>
    <mergeCell ref="F129:G129"/>
    <mergeCell ref="A139:D139"/>
    <mergeCell ref="A41:B43"/>
    <mergeCell ref="A85:B88"/>
    <mergeCell ref="A121:B126"/>
    <mergeCell ref="F118:I119"/>
  </mergeCells>
  <pageMargins left="0.75" right="0.75" top="1" bottom="1" header="0.5" footer="0.5"/>
  <pageSetup paperSize="9" scale="85"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1"/>
  <sheetViews>
    <sheetView zoomScale="90" zoomScaleNormal="90" topLeftCell="A15" workbookViewId="0">
      <selection activeCell="K19" sqref="K19"/>
    </sheetView>
  </sheetViews>
  <sheetFormatPr defaultColWidth="9.13888888888889" defaultRowHeight="14.4" outlineLevelCol="7"/>
  <cols>
    <col min="2" max="2" width="16.1574074074074" style="50" customWidth="1"/>
    <col min="3" max="3" width="39.3611111111111" customWidth="1"/>
    <col min="4" max="4" width="12.3425925925926" style="51" customWidth="1"/>
    <col min="5" max="5" width="11.9722222222222" customWidth="1"/>
    <col min="6" max="6" width="15.8055555555556" customWidth="1"/>
    <col min="7" max="7" width="14.5648148148148" customWidth="1"/>
    <col min="8" max="8" width="15.4351851851852" customWidth="1"/>
  </cols>
  <sheetData>
    <row r="1" spans="1:8">
      <c r="A1" s="52" t="s">
        <v>250</v>
      </c>
      <c r="B1" s="53"/>
      <c r="C1" s="52"/>
      <c r="D1" s="54"/>
      <c r="E1" s="52"/>
      <c r="F1" s="52"/>
      <c r="G1" s="52"/>
      <c r="H1" s="52"/>
    </row>
    <row r="2" spans="1:8">
      <c r="A2" s="55" t="s">
        <v>251</v>
      </c>
      <c r="B2" s="56"/>
      <c r="C2" s="55"/>
      <c r="D2" s="57"/>
      <c r="E2" s="55"/>
      <c r="F2" s="55"/>
      <c r="G2" s="55"/>
      <c r="H2" s="55"/>
    </row>
    <row r="3" ht="57.6" spans="1:8">
      <c r="A3" s="58" t="s">
        <v>252</v>
      </c>
      <c r="B3" s="58" t="s">
        <v>253</v>
      </c>
      <c r="C3" s="58" t="s">
        <v>254</v>
      </c>
      <c r="D3" s="58" t="s">
        <v>255</v>
      </c>
      <c r="E3" s="58" t="s">
        <v>256</v>
      </c>
      <c r="F3" s="58" t="s">
        <v>257</v>
      </c>
      <c r="G3" s="58" t="s">
        <v>258</v>
      </c>
      <c r="H3" s="58" t="s">
        <v>259</v>
      </c>
    </row>
    <row r="4" ht="82.8" spans="1:8">
      <c r="A4" s="59">
        <v>1</v>
      </c>
      <c r="B4" s="46" t="s">
        <v>260</v>
      </c>
      <c r="C4" s="60" t="s">
        <v>261</v>
      </c>
      <c r="D4" s="46" t="s">
        <v>262</v>
      </c>
      <c r="E4" s="61">
        <v>128.08</v>
      </c>
      <c r="F4" s="46">
        <v>4</v>
      </c>
      <c r="G4" s="62">
        <f>TRUNC(F4*E4,2)</f>
        <v>512.32</v>
      </c>
      <c r="H4" s="62">
        <f>TRUNC(G4/12,2)</f>
        <v>42.69</v>
      </c>
    </row>
    <row r="5" ht="82.8" spans="1:8">
      <c r="A5" s="59">
        <v>2</v>
      </c>
      <c r="B5" s="46" t="s">
        <v>263</v>
      </c>
      <c r="C5" s="60" t="s">
        <v>264</v>
      </c>
      <c r="D5" s="46" t="s">
        <v>262</v>
      </c>
      <c r="E5" s="61">
        <v>153.2</v>
      </c>
      <c r="F5" s="46">
        <v>4</v>
      </c>
      <c r="G5" s="62">
        <f t="shared" ref="G5:G19" si="0">TRUNC(F5*E5,2)</f>
        <v>612.8</v>
      </c>
      <c r="H5" s="62">
        <f t="shared" ref="H5:H19" si="1">TRUNC(G5/12,2)</f>
        <v>51.06</v>
      </c>
    </row>
    <row r="6" ht="57.6" spans="1:8">
      <c r="A6" s="59">
        <v>3</v>
      </c>
      <c r="B6" s="46" t="s">
        <v>263</v>
      </c>
      <c r="C6" s="63" t="s">
        <v>265</v>
      </c>
      <c r="D6" s="46" t="s">
        <v>262</v>
      </c>
      <c r="E6" s="61">
        <v>38.53</v>
      </c>
      <c r="F6" s="46">
        <v>4</v>
      </c>
      <c r="G6" s="62">
        <f t="shared" si="0"/>
        <v>154.12</v>
      </c>
      <c r="H6" s="62">
        <f t="shared" si="1"/>
        <v>12.84</v>
      </c>
    </row>
    <row r="7" ht="41.4" spans="1:8">
      <c r="A7" s="59">
        <v>4</v>
      </c>
      <c r="B7" s="64" t="s">
        <v>266</v>
      </c>
      <c r="C7" s="60" t="s">
        <v>267</v>
      </c>
      <c r="D7" s="46" t="s">
        <v>262</v>
      </c>
      <c r="E7" s="61">
        <v>14.98</v>
      </c>
      <c r="F7" s="46">
        <v>2</v>
      </c>
      <c r="G7" s="62">
        <f t="shared" si="0"/>
        <v>29.96</v>
      </c>
      <c r="H7" s="62">
        <f t="shared" si="1"/>
        <v>2.49</v>
      </c>
    </row>
    <row r="8" ht="82.8" spans="1:8">
      <c r="A8" s="59">
        <v>5</v>
      </c>
      <c r="B8" s="64" t="s">
        <v>268</v>
      </c>
      <c r="C8" s="60" t="s">
        <v>269</v>
      </c>
      <c r="D8" s="46" t="s">
        <v>270</v>
      </c>
      <c r="E8" s="61">
        <v>17.5</v>
      </c>
      <c r="F8" s="46">
        <v>2</v>
      </c>
      <c r="G8" s="62">
        <f t="shared" si="0"/>
        <v>35</v>
      </c>
      <c r="H8" s="62">
        <f t="shared" si="1"/>
        <v>2.91</v>
      </c>
    </row>
    <row r="9" ht="96.6" spans="1:8">
      <c r="A9" s="59">
        <v>6</v>
      </c>
      <c r="B9" s="46" t="s">
        <v>271</v>
      </c>
      <c r="C9" s="60" t="s">
        <v>272</v>
      </c>
      <c r="D9" s="46" t="s">
        <v>270</v>
      </c>
      <c r="E9" s="61">
        <v>51.66</v>
      </c>
      <c r="F9" s="46">
        <v>2</v>
      </c>
      <c r="G9" s="62">
        <f t="shared" si="0"/>
        <v>103.32</v>
      </c>
      <c r="H9" s="62">
        <f t="shared" si="1"/>
        <v>8.61</v>
      </c>
    </row>
    <row r="10" ht="41.4" spans="1:8">
      <c r="A10" s="59">
        <v>7</v>
      </c>
      <c r="B10" s="46" t="s">
        <v>273</v>
      </c>
      <c r="C10" s="60" t="s">
        <v>274</v>
      </c>
      <c r="D10" s="46" t="s">
        <v>270</v>
      </c>
      <c r="E10" s="61">
        <v>2.54</v>
      </c>
      <c r="F10" s="46">
        <v>4</v>
      </c>
      <c r="G10" s="62">
        <f t="shared" si="0"/>
        <v>10.16</v>
      </c>
      <c r="H10" s="62">
        <f t="shared" si="1"/>
        <v>0.84</v>
      </c>
    </row>
    <row r="11" ht="41.4" spans="1:8">
      <c r="A11" s="59">
        <v>8</v>
      </c>
      <c r="B11" s="46" t="s">
        <v>275</v>
      </c>
      <c r="C11" s="60" t="s">
        <v>276</v>
      </c>
      <c r="D11" s="46" t="s">
        <v>262</v>
      </c>
      <c r="E11" s="61">
        <v>5.8</v>
      </c>
      <c r="F11" s="46">
        <v>1</v>
      </c>
      <c r="G11" s="62">
        <f t="shared" si="0"/>
        <v>5.8</v>
      </c>
      <c r="H11" s="62">
        <f t="shared" si="1"/>
        <v>0.48</v>
      </c>
    </row>
    <row r="12" ht="124.2" spans="1:8">
      <c r="A12" s="59">
        <v>9</v>
      </c>
      <c r="B12" s="46" t="s">
        <v>277</v>
      </c>
      <c r="C12" s="60" t="s">
        <v>278</v>
      </c>
      <c r="D12" s="46" t="s">
        <v>262</v>
      </c>
      <c r="E12" s="61">
        <v>46.35</v>
      </c>
      <c r="F12" s="46">
        <v>1</v>
      </c>
      <c r="G12" s="62">
        <f t="shared" si="0"/>
        <v>46.35</v>
      </c>
      <c r="H12" s="62">
        <f t="shared" si="1"/>
        <v>3.86</v>
      </c>
    </row>
    <row r="13" ht="55.2" spans="1:8">
      <c r="A13" s="59">
        <v>10</v>
      </c>
      <c r="B13" s="46" t="s">
        <v>279</v>
      </c>
      <c r="C13" s="60" t="s">
        <v>280</v>
      </c>
      <c r="D13" s="46" t="s">
        <v>281</v>
      </c>
      <c r="E13" s="61">
        <v>305.97</v>
      </c>
      <c r="F13" s="46">
        <v>1</v>
      </c>
      <c r="G13" s="62">
        <f t="shared" si="0"/>
        <v>305.97</v>
      </c>
      <c r="H13" s="62">
        <f t="shared" si="1"/>
        <v>25.49</v>
      </c>
    </row>
    <row r="14" ht="41.4" spans="1:8">
      <c r="A14" s="59">
        <v>11</v>
      </c>
      <c r="B14" s="46" t="s">
        <v>282</v>
      </c>
      <c r="C14" s="60" t="s">
        <v>283</v>
      </c>
      <c r="D14" s="46" t="s">
        <v>270</v>
      </c>
      <c r="E14" s="61">
        <v>617.28</v>
      </c>
      <c r="F14" s="46">
        <v>1</v>
      </c>
      <c r="G14" s="62">
        <f t="shared" si="0"/>
        <v>617.28</v>
      </c>
      <c r="H14" s="62">
        <f t="shared" si="1"/>
        <v>51.44</v>
      </c>
    </row>
    <row r="15" ht="55.2" spans="1:8">
      <c r="A15" s="59">
        <v>12</v>
      </c>
      <c r="B15" s="46" t="s">
        <v>282</v>
      </c>
      <c r="C15" s="60" t="s">
        <v>284</v>
      </c>
      <c r="D15" s="46" t="s">
        <v>270</v>
      </c>
      <c r="E15" s="61">
        <v>4.2</v>
      </c>
      <c r="F15" s="46">
        <v>6</v>
      </c>
      <c r="G15" s="62">
        <f t="shared" si="0"/>
        <v>25.2</v>
      </c>
      <c r="H15" s="62">
        <f t="shared" si="1"/>
        <v>2.1</v>
      </c>
    </row>
    <row r="16" ht="69" spans="1:8">
      <c r="A16" s="59">
        <v>13</v>
      </c>
      <c r="B16" s="46" t="s">
        <v>285</v>
      </c>
      <c r="C16" s="60" t="s">
        <v>286</v>
      </c>
      <c r="D16" s="46" t="s">
        <v>262</v>
      </c>
      <c r="E16" s="61">
        <v>4</v>
      </c>
      <c r="F16" s="46">
        <v>2</v>
      </c>
      <c r="G16" s="62">
        <f t="shared" si="0"/>
        <v>8</v>
      </c>
      <c r="H16" s="62">
        <f t="shared" si="1"/>
        <v>0.66</v>
      </c>
    </row>
    <row r="17" ht="41.4" spans="1:8">
      <c r="A17" s="59">
        <v>14</v>
      </c>
      <c r="B17" s="46" t="s">
        <v>287</v>
      </c>
      <c r="C17" s="60" t="s">
        <v>288</v>
      </c>
      <c r="D17" s="46" t="s">
        <v>262</v>
      </c>
      <c r="E17" s="61">
        <v>1.1</v>
      </c>
      <c r="F17" s="46">
        <v>4</v>
      </c>
      <c r="G17" s="62">
        <f t="shared" si="0"/>
        <v>4.4</v>
      </c>
      <c r="H17" s="62">
        <f t="shared" si="1"/>
        <v>0.36</v>
      </c>
    </row>
    <row r="18" ht="27.6" spans="1:8">
      <c r="A18" s="59">
        <v>15</v>
      </c>
      <c r="B18" s="46" t="s">
        <v>289</v>
      </c>
      <c r="C18" s="60" t="s">
        <v>290</v>
      </c>
      <c r="D18" s="46" t="s">
        <v>262</v>
      </c>
      <c r="E18" s="61">
        <v>10.76</v>
      </c>
      <c r="F18" s="46">
        <v>4</v>
      </c>
      <c r="G18" s="62">
        <f t="shared" si="0"/>
        <v>43.04</v>
      </c>
      <c r="H18" s="62">
        <f t="shared" si="1"/>
        <v>3.58</v>
      </c>
    </row>
    <row r="19" ht="96.6" spans="1:8">
      <c r="A19" s="59">
        <v>16</v>
      </c>
      <c r="B19" s="46" t="s">
        <v>291</v>
      </c>
      <c r="C19" s="60" t="s">
        <v>292</v>
      </c>
      <c r="D19" s="46" t="s">
        <v>262</v>
      </c>
      <c r="E19" s="61">
        <v>0.95</v>
      </c>
      <c r="F19" s="46">
        <v>12</v>
      </c>
      <c r="G19" s="62">
        <f t="shared" si="0"/>
        <v>11.4</v>
      </c>
      <c r="H19" s="62">
        <f t="shared" si="1"/>
        <v>0.95</v>
      </c>
    </row>
    <row r="20" spans="1:8">
      <c r="A20" s="18" t="s">
        <v>205</v>
      </c>
      <c r="B20" s="18"/>
      <c r="C20" s="18"/>
      <c r="D20" s="18"/>
      <c r="E20" s="18"/>
      <c r="F20" s="18"/>
      <c r="G20" s="20">
        <f>TRUNC(SUM(H4:H19),2)</f>
        <v>210.36</v>
      </c>
      <c r="H20" s="20"/>
    </row>
    <row r="23" spans="1:8">
      <c r="A23" s="52" t="s">
        <v>250</v>
      </c>
      <c r="B23" s="53"/>
      <c r="C23" s="52"/>
      <c r="D23" s="54"/>
      <c r="E23" s="52"/>
      <c r="F23" s="52"/>
      <c r="G23" s="52"/>
      <c r="H23" s="52"/>
    </row>
    <row r="24" spans="1:8">
      <c r="A24" s="55" t="s">
        <v>293</v>
      </c>
      <c r="B24" s="56"/>
      <c r="C24" s="55"/>
      <c r="D24" s="57"/>
      <c r="E24" s="55"/>
      <c r="F24" s="55"/>
      <c r="G24" s="55"/>
      <c r="H24" s="55"/>
    </row>
    <row r="25" ht="57.6" spans="1:8">
      <c r="A25" s="58" t="s">
        <v>252</v>
      </c>
      <c r="B25" s="58" t="s">
        <v>253</v>
      </c>
      <c r="C25" s="58" t="s">
        <v>254</v>
      </c>
      <c r="D25" s="58" t="s">
        <v>255</v>
      </c>
      <c r="E25" s="58" t="s">
        <v>256</v>
      </c>
      <c r="F25" s="58" t="s">
        <v>257</v>
      </c>
      <c r="G25" s="58" t="s">
        <v>258</v>
      </c>
      <c r="H25" s="58" t="s">
        <v>259</v>
      </c>
    </row>
    <row r="26" ht="55.2" spans="1:8">
      <c r="A26" s="59">
        <v>1</v>
      </c>
      <c r="B26" s="46" t="s">
        <v>260</v>
      </c>
      <c r="C26" s="65" t="s">
        <v>294</v>
      </c>
      <c r="D26" s="46" t="s">
        <v>262</v>
      </c>
      <c r="E26" s="61">
        <v>52</v>
      </c>
      <c r="F26" s="46">
        <v>4</v>
      </c>
      <c r="G26" s="62">
        <f>TRUNC(F26*E26,2)</f>
        <v>208</v>
      </c>
      <c r="H26" s="62">
        <f>TRUNC(G26/12,2)</f>
        <v>17.33</v>
      </c>
    </row>
    <row r="27" ht="55.2" spans="1:8">
      <c r="A27" s="59">
        <v>2</v>
      </c>
      <c r="B27" s="46" t="s">
        <v>263</v>
      </c>
      <c r="C27" s="65" t="s">
        <v>295</v>
      </c>
      <c r="D27" s="46" t="s">
        <v>262</v>
      </c>
      <c r="E27" s="61">
        <v>41.1</v>
      </c>
      <c r="F27" s="46">
        <v>4</v>
      </c>
      <c r="G27" s="62">
        <f t="shared" ref="G27:G41" si="2">TRUNC(F27*E27,2)</f>
        <v>164.4</v>
      </c>
      <c r="H27" s="62">
        <f t="shared" ref="H27:H41" si="3">TRUNC(G27/12,2)</f>
        <v>13.7</v>
      </c>
    </row>
    <row r="28" ht="55.2" spans="1:8">
      <c r="A28" s="59">
        <v>3</v>
      </c>
      <c r="B28" s="46" t="s">
        <v>263</v>
      </c>
      <c r="C28" s="65" t="s">
        <v>265</v>
      </c>
      <c r="D28" s="46" t="s">
        <v>262</v>
      </c>
      <c r="E28" s="61">
        <v>38.53</v>
      </c>
      <c r="F28" s="46">
        <v>4</v>
      </c>
      <c r="G28" s="62">
        <f t="shared" si="2"/>
        <v>154.12</v>
      </c>
      <c r="H28" s="62">
        <f t="shared" si="3"/>
        <v>12.84</v>
      </c>
    </row>
    <row r="29" ht="41.4" spans="1:8">
      <c r="A29" s="59">
        <v>4</v>
      </c>
      <c r="B29" s="64" t="s">
        <v>266</v>
      </c>
      <c r="C29" s="65" t="s">
        <v>267</v>
      </c>
      <c r="D29" s="46" t="s">
        <v>262</v>
      </c>
      <c r="E29" s="61">
        <v>14.98</v>
      </c>
      <c r="F29" s="46">
        <v>2</v>
      </c>
      <c r="G29" s="62">
        <f t="shared" si="2"/>
        <v>29.96</v>
      </c>
      <c r="H29" s="62">
        <f t="shared" si="3"/>
        <v>2.49</v>
      </c>
    </row>
    <row r="30" ht="82.8" spans="1:8">
      <c r="A30" s="59">
        <v>5</v>
      </c>
      <c r="B30" s="64" t="s">
        <v>268</v>
      </c>
      <c r="C30" s="65" t="s">
        <v>269</v>
      </c>
      <c r="D30" s="46" t="s">
        <v>270</v>
      </c>
      <c r="E30" s="61">
        <v>17.5</v>
      </c>
      <c r="F30" s="46">
        <v>2</v>
      </c>
      <c r="G30" s="62">
        <f t="shared" si="2"/>
        <v>35</v>
      </c>
      <c r="H30" s="62">
        <f t="shared" si="3"/>
        <v>2.91</v>
      </c>
    </row>
    <row r="31" ht="55.2" spans="1:8">
      <c r="A31" s="59">
        <v>6</v>
      </c>
      <c r="B31" s="46" t="s">
        <v>271</v>
      </c>
      <c r="C31" s="65" t="s">
        <v>296</v>
      </c>
      <c r="D31" s="46" t="s">
        <v>270</v>
      </c>
      <c r="E31" s="61">
        <v>61.59</v>
      </c>
      <c r="F31" s="46">
        <v>2</v>
      </c>
      <c r="G31" s="62">
        <f t="shared" si="2"/>
        <v>123.18</v>
      </c>
      <c r="H31" s="62">
        <f t="shared" si="3"/>
        <v>10.26</v>
      </c>
    </row>
    <row r="32" ht="96.6" spans="1:8">
      <c r="A32" s="59">
        <v>7</v>
      </c>
      <c r="B32" s="46" t="s">
        <v>271</v>
      </c>
      <c r="C32" s="65" t="s">
        <v>297</v>
      </c>
      <c r="D32" s="46" t="s">
        <v>270</v>
      </c>
      <c r="E32" s="61">
        <v>71.11</v>
      </c>
      <c r="F32" s="46">
        <v>1</v>
      </c>
      <c r="G32" s="62">
        <f t="shared" si="2"/>
        <v>71.11</v>
      </c>
      <c r="H32" s="62">
        <f t="shared" si="3"/>
        <v>5.92</v>
      </c>
    </row>
    <row r="33" ht="41.4" spans="1:8">
      <c r="A33" s="59">
        <v>8</v>
      </c>
      <c r="B33" s="46" t="s">
        <v>273</v>
      </c>
      <c r="C33" s="65" t="s">
        <v>274</v>
      </c>
      <c r="D33" s="46" t="s">
        <v>270</v>
      </c>
      <c r="E33" s="61">
        <v>2.54</v>
      </c>
      <c r="F33" s="46">
        <v>4</v>
      </c>
      <c r="G33" s="62">
        <f t="shared" si="2"/>
        <v>10.16</v>
      </c>
      <c r="H33" s="62">
        <f t="shared" si="3"/>
        <v>0.84</v>
      </c>
    </row>
    <row r="34" ht="41.4" spans="1:8">
      <c r="A34" s="59">
        <v>9</v>
      </c>
      <c r="B34" s="46" t="s">
        <v>275</v>
      </c>
      <c r="C34" s="65" t="s">
        <v>276</v>
      </c>
      <c r="D34" s="46" t="s">
        <v>262</v>
      </c>
      <c r="E34" s="61">
        <v>5.8</v>
      </c>
      <c r="F34" s="46">
        <v>1</v>
      </c>
      <c r="G34" s="62">
        <f t="shared" si="2"/>
        <v>5.8</v>
      </c>
      <c r="H34" s="62">
        <f t="shared" si="3"/>
        <v>0.48</v>
      </c>
    </row>
    <row r="35" ht="69" spans="1:8">
      <c r="A35" s="59">
        <v>10</v>
      </c>
      <c r="B35" s="46" t="s">
        <v>277</v>
      </c>
      <c r="C35" s="65" t="s">
        <v>298</v>
      </c>
      <c r="D35" s="46" t="s">
        <v>262</v>
      </c>
      <c r="E35" s="61">
        <v>30</v>
      </c>
      <c r="F35" s="46">
        <v>1</v>
      </c>
      <c r="G35" s="62">
        <f t="shared" si="2"/>
        <v>30</v>
      </c>
      <c r="H35" s="62">
        <f t="shared" si="3"/>
        <v>2.5</v>
      </c>
    </row>
    <row r="36" ht="55.2" spans="1:8">
      <c r="A36" s="59">
        <v>11</v>
      </c>
      <c r="B36" s="46" t="s">
        <v>279</v>
      </c>
      <c r="C36" s="65" t="s">
        <v>280</v>
      </c>
      <c r="D36" s="46" t="s">
        <v>281</v>
      </c>
      <c r="E36" s="61">
        <v>305.97</v>
      </c>
      <c r="F36" s="46">
        <v>1</v>
      </c>
      <c r="G36" s="62">
        <f t="shared" si="2"/>
        <v>305.97</v>
      </c>
      <c r="H36" s="62">
        <f t="shared" si="3"/>
        <v>25.49</v>
      </c>
    </row>
    <row r="37" ht="55.2" spans="1:8">
      <c r="A37" s="59">
        <v>12</v>
      </c>
      <c r="B37" s="46" t="s">
        <v>282</v>
      </c>
      <c r="C37" s="65" t="s">
        <v>284</v>
      </c>
      <c r="D37" s="46" t="s">
        <v>270</v>
      </c>
      <c r="E37" s="61">
        <v>4.2</v>
      </c>
      <c r="F37" s="46">
        <v>6</v>
      </c>
      <c r="G37" s="62">
        <f t="shared" si="2"/>
        <v>25.2</v>
      </c>
      <c r="H37" s="62">
        <f t="shared" si="3"/>
        <v>2.1</v>
      </c>
    </row>
    <row r="38" ht="69" spans="1:8">
      <c r="A38" s="59">
        <v>13</v>
      </c>
      <c r="B38" s="46" t="s">
        <v>285</v>
      </c>
      <c r="C38" s="65" t="s">
        <v>286</v>
      </c>
      <c r="D38" s="46" t="s">
        <v>262</v>
      </c>
      <c r="E38" s="61">
        <v>4</v>
      </c>
      <c r="F38" s="46">
        <v>2</v>
      </c>
      <c r="G38" s="62">
        <f t="shared" si="2"/>
        <v>8</v>
      </c>
      <c r="H38" s="62">
        <f t="shared" si="3"/>
        <v>0.66</v>
      </c>
    </row>
    <row r="39" ht="41.4" spans="1:8">
      <c r="A39" s="59">
        <v>14</v>
      </c>
      <c r="B39" s="46" t="s">
        <v>287</v>
      </c>
      <c r="C39" s="65" t="s">
        <v>288</v>
      </c>
      <c r="D39" s="46" t="s">
        <v>262</v>
      </c>
      <c r="E39" s="61">
        <v>1.1</v>
      </c>
      <c r="F39" s="46">
        <v>4</v>
      </c>
      <c r="G39" s="62">
        <f t="shared" si="2"/>
        <v>4.4</v>
      </c>
      <c r="H39" s="62">
        <f t="shared" si="3"/>
        <v>0.36</v>
      </c>
    </row>
    <row r="40" ht="27.6" spans="1:8">
      <c r="A40" s="59">
        <v>15</v>
      </c>
      <c r="B40" s="46" t="s">
        <v>289</v>
      </c>
      <c r="C40" s="65" t="s">
        <v>290</v>
      </c>
      <c r="D40" s="46" t="s">
        <v>262</v>
      </c>
      <c r="E40" s="61">
        <v>10.76</v>
      </c>
      <c r="F40" s="46">
        <v>4</v>
      </c>
      <c r="G40" s="62">
        <f t="shared" si="2"/>
        <v>43.04</v>
      </c>
      <c r="H40" s="62">
        <f t="shared" si="3"/>
        <v>3.58</v>
      </c>
    </row>
    <row r="41" ht="96.6" spans="1:8">
      <c r="A41" s="59">
        <v>16</v>
      </c>
      <c r="B41" s="59" t="s">
        <v>291</v>
      </c>
      <c r="C41" s="65" t="s">
        <v>292</v>
      </c>
      <c r="D41" s="46" t="s">
        <v>262</v>
      </c>
      <c r="E41" s="61">
        <v>0.95</v>
      </c>
      <c r="F41" s="46">
        <v>12</v>
      </c>
      <c r="G41" s="62">
        <f t="shared" si="2"/>
        <v>11.4</v>
      </c>
      <c r="H41" s="62">
        <f t="shared" si="3"/>
        <v>0.95</v>
      </c>
    </row>
    <row r="42" spans="1:8">
      <c r="A42" s="18" t="s">
        <v>205</v>
      </c>
      <c r="B42" s="18"/>
      <c r="C42" s="18"/>
      <c r="D42" s="18"/>
      <c r="E42" s="18"/>
      <c r="F42" s="18"/>
      <c r="G42" s="20">
        <f>TRUNC(SUM(H26:H41),2)</f>
        <v>102.41</v>
      </c>
      <c r="H42" s="20"/>
    </row>
    <row r="45" spans="1:8">
      <c r="A45" s="52" t="s">
        <v>250</v>
      </c>
      <c r="B45" s="53"/>
      <c r="C45" s="52"/>
      <c r="D45" s="54"/>
      <c r="E45" s="52"/>
      <c r="F45" s="52"/>
      <c r="G45" s="52"/>
      <c r="H45" s="52"/>
    </row>
    <row r="46" spans="1:8">
      <c r="A46" s="55" t="s">
        <v>299</v>
      </c>
      <c r="B46" s="56"/>
      <c r="C46" s="55"/>
      <c r="D46" s="57"/>
      <c r="E46" s="55"/>
      <c r="F46" s="55"/>
      <c r="G46" s="55"/>
      <c r="H46" s="55"/>
    </row>
    <row r="47" ht="57.6" spans="1:8">
      <c r="A47" s="58" t="s">
        <v>252</v>
      </c>
      <c r="B47" s="58" t="s">
        <v>253</v>
      </c>
      <c r="C47" s="58" t="s">
        <v>254</v>
      </c>
      <c r="D47" s="58" t="s">
        <v>255</v>
      </c>
      <c r="E47" s="58" t="s">
        <v>256</v>
      </c>
      <c r="F47" s="58" t="s">
        <v>257</v>
      </c>
      <c r="G47" s="58" t="s">
        <v>258</v>
      </c>
      <c r="H47" s="58" t="s">
        <v>259</v>
      </c>
    </row>
    <row r="48" ht="55.2" spans="1:8">
      <c r="A48" s="59">
        <v>1</v>
      </c>
      <c r="B48" s="46" t="s">
        <v>260</v>
      </c>
      <c r="C48" s="60" t="s">
        <v>294</v>
      </c>
      <c r="D48" s="46" t="s">
        <v>262</v>
      </c>
      <c r="E48" s="61">
        <v>52</v>
      </c>
      <c r="F48" s="46">
        <v>4</v>
      </c>
      <c r="G48" s="62">
        <f>TRUNC(F48*E48,2)</f>
        <v>208</v>
      </c>
      <c r="H48" s="62">
        <f>TRUNC(G48/12,2)</f>
        <v>17.33</v>
      </c>
    </row>
    <row r="49" ht="55.2" spans="1:8">
      <c r="A49" s="59">
        <v>2</v>
      </c>
      <c r="B49" s="46" t="s">
        <v>263</v>
      </c>
      <c r="C49" s="60" t="s">
        <v>295</v>
      </c>
      <c r="D49" s="46" t="s">
        <v>262</v>
      </c>
      <c r="E49" s="61">
        <v>41.1</v>
      </c>
      <c r="F49" s="46">
        <v>4</v>
      </c>
      <c r="G49" s="62">
        <f t="shared" ref="G49:G60" si="4">TRUNC(F49*E49,2)</f>
        <v>164.4</v>
      </c>
      <c r="H49" s="62">
        <f t="shared" ref="H49:H60" si="5">TRUNC(G49/12,2)</f>
        <v>13.7</v>
      </c>
    </row>
    <row r="50" ht="57.6" spans="1:8">
      <c r="A50" s="59">
        <v>3</v>
      </c>
      <c r="B50" s="46" t="s">
        <v>263</v>
      </c>
      <c r="C50" s="63" t="s">
        <v>265</v>
      </c>
      <c r="D50" s="46" t="s">
        <v>262</v>
      </c>
      <c r="E50" s="61">
        <v>38.53</v>
      </c>
      <c r="F50" s="46">
        <v>4</v>
      </c>
      <c r="G50" s="62">
        <f t="shared" si="4"/>
        <v>154.12</v>
      </c>
      <c r="H50" s="62">
        <f t="shared" si="5"/>
        <v>12.84</v>
      </c>
    </row>
    <row r="51" ht="41.4" spans="1:8">
      <c r="A51" s="59">
        <v>4</v>
      </c>
      <c r="B51" s="64" t="s">
        <v>266</v>
      </c>
      <c r="C51" s="60" t="s">
        <v>267</v>
      </c>
      <c r="D51" s="46" t="s">
        <v>262</v>
      </c>
      <c r="E51" s="61">
        <v>14.98</v>
      </c>
      <c r="F51" s="46">
        <v>2</v>
      </c>
      <c r="G51" s="62">
        <f t="shared" si="4"/>
        <v>29.96</v>
      </c>
      <c r="H51" s="62">
        <f t="shared" si="5"/>
        <v>2.49</v>
      </c>
    </row>
    <row r="52" ht="82.8" spans="1:8">
      <c r="A52" s="59">
        <v>5</v>
      </c>
      <c r="B52" s="64" t="s">
        <v>268</v>
      </c>
      <c r="C52" s="60" t="s">
        <v>269</v>
      </c>
      <c r="D52" s="46" t="s">
        <v>270</v>
      </c>
      <c r="E52" s="61">
        <v>17.5</v>
      </c>
      <c r="F52" s="46">
        <v>2</v>
      </c>
      <c r="G52" s="62">
        <f t="shared" si="4"/>
        <v>35</v>
      </c>
      <c r="H52" s="62">
        <f t="shared" si="5"/>
        <v>2.91</v>
      </c>
    </row>
    <row r="53" ht="55.2" spans="1:8">
      <c r="A53" s="59">
        <v>6</v>
      </c>
      <c r="B53" s="46" t="s">
        <v>271</v>
      </c>
      <c r="C53" s="60" t="s">
        <v>296</v>
      </c>
      <c r="D53" s="46" t="s">
        <v>270</v>
      </c>
      <c r="E53" s="61">
        <v>61.59</v>
      </c>
      <c r="F53" s="46">
        <v>2</v>
      </c>
      <c r="G53" s="62">
        <f t="shared" si="4"/>
        <v>123.18</v>
      </c>
      <c r="H53" s="62">
        <f t="shared" si="5"/>
        <v>10.26</v>
      </c>
    </row>
    <row r="54" ht="96.6" spans="1:8">
      <c r="A54" s="59">
        <v>7</v>
      </c>
      <c r="B54" s="46" t="s">
        <v>271</v>
      </c>
      <c r="C54" s="60" t="s">
        <v>297</v>
      </c>
      <c r="D54" s="46" t="s">
        <v>270</v>
      </c>
      <c r="E54" s="61">
        <v>71.11</v>
      </c>
      <c r="F54" s="46">
        <v>1</v>
      </c>
      <c r="G54" s="62">
        <f t="shared" si="4"/>
        <v>71.11</v>
      </c>
      <c r="H54" s="62">
        <f t="shared" si="5"/>
        <v>5.92</v>
      </c>
    </row>
    <row r="55" ht="41.4" spans="1:8">
      <c r="A55" s="59">
        <v>8</v>
      </c>
      <c r="B55" s="46" t="s">
        <v>273</v>
      </c>
      <c r="C55" s="60" t="s">
        <v>274</v>
      </c>
      <c r="D55" s="46" t="s">
        <v>270</v>
      </c>
      <c r="E55" s="61">
        <v>2.54</v>
      </c>
      <c r="F55" s="46">
        <v>4</v>
      </c>
      <c r="G55" s="62">
        <f t="shared" si="4"/>
        <v>10.16</v>
      </c>
      <c r="H55" s="62">
        <f t="shared" si="5"/>
        <v>0.84</v>
      </c>
    </row>
    <row r="56" ht="41.4" spans="1:8">
      <c r="A56" s="59">
        <v>9</v>
      </c>
      <c r="B56" s="46" t="s">
        <v>275</v>
      </c>
      <c r="C56" s="60" t="s">
        <v>276</v>
      </c>
      <c r="D56" s="46" t="s">
        <v>262</v>
      </c>
      <c r="E56" s="61">
        <v>5.8</v>
      </c>
      <c r="F56" s="46">
        <v>1</v>
      </c>
      <c r="G56" s="62">
        <f t="shared" si="4"/>
        <v>5.8</v>
      </c>
      <c r="H56" s="62">
        <f t="shared" si="5"/>
        <v>0.48</v>
      </c>
    </row>
    <row r="57" ht="55.2" spans="1:8">
      <c r="A57" s="59">
        <v>10</v>
      </c>
      <c r="B57" s="46" t="s">
        <v>282</v>
      </c>
      <c r="C57" s="60" t="s">
        <v>284</v>
      </c>
      <c r="D57" s="46" t="s">
        <v>270</v>
      </c>
      <c r="E57" s="61">
        <v>4.2</v>
      </c>
      <c r="F57" s="46">
        <v>4</v>
      </c>
      <c r="G57" s="62">
        <f t="shared" si="4"/>
        <v>16.8</v>
      </c>
      <c r="H57" s="62">
        <f t="shared" si="5"/>
        <v>1.4</v>
      </c>
    </row>
    <row r="58" ht="69" spans="1:8">
      <c r="A58" s="59">
        <v>11</v>
      </c>
      <c r="B58" s="46" t="s">
        <v>285</v>
      </c>
      <c r="C58" s="60" t="s">
        <v>286</v>
      </c>
      <c r="D58" s="46" t="s">
        <v>262</v>
      </c>
      <c r="E58" s="61">
        <v>4</v>
      </c>
      <c r="F58" s="46">
        <v>2</v>
      </c>
      <c r="G58" s="62">
        <f t="shared" si="4"/>
        <v>8</v>
      </c>
      <c r="H58" s="62">
        <f t="shared" si="5"/>
        <v>0.66</v>
      </c>
    </row>
    <row r="59" ht="69" spans="1:8">
      <c r="A59" s="59">
        <v>12</v>
      </c>
      <c r="B59" s="46" t="s">
        <v>300</v>
      </c>
      <c r="C59" s="60" t="s">
        <v>301</v>
      </c>
      <c r="D59" s="46" t="s">
        <v>262</v>
      </c>
      <c r="E59" s="61">
        <v>15.87</v>
      </c>
      <c r="F59" s="46">
        <v>1</v>
      </c>
      <c r="G59" s="62">
        <f t="shared" si="4"/>
        <v>15.87</v>
      </c>
      <c r="H59" s="62">
        <f t="shared" si="5"/>
        <v>1.32</v>
      </c>
    </row>
    <row r="60" ht="27.6" spans="1:8">
      <c r="A60" s="59">
        <v>13</v>
      </c>
      <c r="B60" s="46" t="s">
        <v>289</v>
      </c>
      <c r="C60" s="60" t="s">
        <v>290</v>
      </c>
      <c r="D60" s="46" t="s">
        <v>262</v>
      </c>
      <c r="E60" s="61">
        <v>10.76</v>
      </c>
      <c r="F60" s="46">
        <v>4</v>
      </c>
      <c r="G60" s="62">
        <f t="shared" si="4"/>
        <v>43.04</v>
      </c>
      <c r="H60" s="62">
        <f t="shared" si="5"/>
        <v>3.58</v>
      </c>
    </row>
    <row r="61" spans="1:8">
      <c r="A61" s="18" t="s">
        <v>205</v>
      </c>
      <c r="B61" s="18"/>
      <c r="C61" s="18"/>
      <c r="D61" s="18"/>
      <c r="E61" s="18"/>
      <c r="F61" s="18"/>
      <c r="G61" s="20">
        <f>TRUNC(SUM(H48:H60),2)</f>
        <v>73.73</v>
      </c>
      <c r="H61" s="20"/>
    </row>
  </sheetData>
  <mergeCells count="12">
    <mergeCell ref="A1:H1"/>
    <mergeCell ref="A2:H2"/>
    <mergeCell ref="A20:F20"/>
    <mergeCell ref="G20:H20"/>
    <mergeCell ref="A23:H23"/>
    <mergeCell ref="A24:H24"/>
    <mergeCell ref="A42:F42"/>
    <mergeCell ref="G42:H42"/>
    <mergeCell ref="A45:H45"/>
    <mergeCell ref="A46:H46"/>
    <mergeCell ref="A61:F61"/>
    <mergeCell ref="G61:H61"/>
  </mergeCells>
  <pageMargins left="0.75" right="0.75" top="1" bottom="1" header="0.5" footer="0.5"/>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workbookViewId="0">
      <selection activeCell="I15" sqref="I15"/>
    </sheetView>
  </sheetViews>
  <sheetFormatPr defaultColWidth="9.13888888888889" defaultRowHeight="14.4" outlineLevelCol="5"/>
  <cols>
    <col min="2" max="2" width="57.287037037037" customWidth="1"/>
    <col min="3" max="3" width="18.5740740740741" customWidth="1"/>
    <col min="4" max="4" width="17.5740740740741" customWidth="1"/>
    <col min="5" max="6" width="11.4444444444444" customWidth="1"/>
  </cols>
  <sheetData>
    <row r="1" spans="1:6">
      <c r="A1" s="41" t="s">
        <v>302</v>
      </c>
      <c r="B1" s="41"/>
      <c r="C1" s="41"/>
      <c r="D1" s="41"/>
      <c r="E1" s="41"/>
      <c r="F1" s="41"/>
    </row>
    <row r="2" ht="30" customHeight="1" spans="1:6">
      <c r="A2" s="42" t="s">
        <v>252</v>
      </c>
      <c r="B2" s="42" t="s">
        <v>254</v>
      </c>
      <c r="C2" s="42" t="s">
        <v>255</v>
      </c>
      <c r="D2" s="42" t="s">
        <v>257</v>
      </c>
      <c r="E2" s="42" t="s">
        <v>221</v>
      </c>
      <c r="F2" s="42" t="s">
        <v>222</v>
      </c>
    </row>
    <row r="3" spans="1:6">
      <c r="A3" s="42"/>
      <c r="B3" s="42"/>
      <c r="C3" s="42"/>
      <c r="D3" s="42"/>
      <c r="E3" s="42"/>
      <c r="F3" s="42"/>
    </row>
    <row r="4" spans="1:6">
      <c r="A4" s="42"/>
      <c r="B4" s="42"/>
      <c r="C4" s="42"/>
      <c r="D4" s="42"/>
      <c r="E4" s="42"/>
      <c r="F4" s="42"/>
    </row>
    <row r="5" ht="15" customHeight="1" spans="1:4">
      <c r="A5" s="43">
        <v>1</v>
      </c>
      <c r="B5" s="44" t="s">
        <v>303</v>
      </c>
      <c r="C5" s="44"/>
      <c r="D5" s="44"/>
    </row>
    <row r="6" spans="1:6">
      <c r="A6" s="43"/>
      <c r="B6" s="45" t="s">
        <v>304</v>
      </c>
      <c r="C6" s="46" t="s">
        <v>262</v>
      </c>
      <c r="D6" s="47">
        <v>1</v>
      </c>
      <c r="E6" s="16">
        <v>17.7</v>
      </c>
      <c r="F6" s="16">
        <f>TRUNC(E6*D6,2)</f>
        <v>17.7</v>
      </c>
    </row>
    <row r="7" spans="1:6">
      <c r="A7" s="43"/>
      <c r="B7" s="45" t="s">
        <v>305</v>
      </c>
      <c r="C7" s="46" t="s">
        <v>262</v>
      </c>
      <c r="D7" s="47">
        <v>1</v>
      </c>
      <c r="E7" s="16">
        <v>2.27</v>
      </c>
      <c r="F7" s="16">
        <f t="shared" ref="F7:F18" si="0">TRUNC(E7*D7,2)</f>
        <v>2.27</v>
      </c>
    </row>
    <row r="8" spans="1:6">
      <c r="A8" s="43"/>
      <c r="B8" s="45" t="s">
        <v>306</v>
      </c>
      <c r="C8" s="46" t="s">
        <v>307</v>
      </c>
      <c r="D8" s="47">
        <v>1</v>
      </c>
      <c r="E8" s="16">
        <v>24</v>
      </c>
      <c r="F8" s="16">
        <f t="shared" si="0"/>
        <v>24</v>
      </c>
    </row>
    <row r="9" spans="1:6">
      <c r="A9" s="43"/>
      <c r="B9" s="45" t="s">
        <v>308</v>
      </c>
      <c r="C9" s="46" t="s">
        <v>307</v>
      </c>
      <c r="D9" s="47">
        <v>1</v>
      </c>
      <c r="E9" s="16">
        <v>8.9</v>
      </c>
      <c r="F9" s="16">
        <f t="shared" si="0"/>
        <v>8.9</v>
      </c>
    </row>
    <row r="10" spans="1:6">
      <c r="A10" s="43"/>
      <c r="B10" s="45" t="s">
        <v>309</v>
      </c>
      <c r="C10" s="46" t="s">
        <v>310</v>
      </c>
      <c r="D10" s="47">
        <v>10</v>
      </c>
      <c r="E10" s="16">
        <v>10.35</v>
      </c>
      <c r="F10" s="16">
        <f t="shared" si="0"/>
        <v>103.5</v>
      </c>
    </row>
    <row r="11" spans="1:6">
      <c r="A11" s="43"/>
      <c r="B11" s="45" t="s">
        <v>311</v>
      </c>
      <c r="C11" s="46" t="s">
        <v>312</v>
      </c>
      <c r="D11" s="47">
        <v>2</v>
      </c>
      <c r="E11" s="16">
        <v>7.99</v>
      </c>
      <c r="F11" s="16">
        <f t="shared" si="0"/>
        <v>15.98</v>
      </c>
    </row>
    <row r="12" spans="1:6">
      <c r="A12" s="43"/>
      <c r="B12" s="45" t="s">
        <v>313</v>
      </c>
      <c r="C12" s="46" t="s">
        <v>312</v>
      </c>
      <c r="D12" s="47">
        <v>5</v>
      </c>
      <c r="E12" s="16">
        <v>3.8</v>
      </c>
      <c r="F12" s="16">
        <f t="shared" si="0"/>
        <v>19</v>
      </c>
    </row>
    <row r="13" spans="1:6">
      <c r="A13" s="43"/>
      <c r="B13" s="45" t="s">
        <v>314</v>
      </c>
      <c r="C13" s="46" t="s">
        <v>315</v>
      </c>
      <c r="D13" s="47">
        <v>2</v>
      </c>
      <c r="E13" s="16">
        <v>4.36</v>
      </c>
      <c r="F13" s="16">
        <f t="shared" si="0"/>
        <v>8.72</v>
      </c>
    </row>
    <row r="14" spans="1:6">
      <c r="A14" s="43"/>
      <c r="B14" s="45" t="s">
        <v>316</v>
      </c>
      <c r="C14" s="46" t="s">
        <v>315</v>
      </c>
      <c r="D14" s="47">
        <v>2</v>
      </c>
      <c r="E14" s="16">
        <v>2.36</v>
      </c>
      <c r="F14" s="16">
        <f t="shared" si="0"/>
        <v>4.72</v>
      </c>
    </row>
    <row r="15" ht="28.8" spans="1:6">
      <c r="A15" s="46">
        <v>2</v>
      </c>
      <c r="B15" s="45" t="s">
        <v>317</v>
      </c>
      <c r="C15" s="46" t="s">
        <v>312</v>
      </c>
      <c r="D15" s="46">
        <v>1</v>
      </c>
      <c r="E15" s="16">
        <v>300</v>
      </c>
      <c r="F15" s="16">
        <f t="shared" si="0"/>
        <v>300</v>
      </c>
    </row>
    <row r="16" spans="1:6">
      <c r="A16" s="46">
        <v>3</v>
      </c>
      <c r="B16" s="45" t="s">
        <v>318</v>
      </c>
      <c r="C16" s="46" t="s">
        <v>270</v>
      </c>
      <c r="D16" s="47">
        <v>1</v>
      </c>
      <c r="E16" s="16">
        <v>1246.85</v>
      </c>
      <c r="F16" s="16">
        <f t="shared" si="0"/>
        <v>1246.85</v>
      </c>
    </row>
    <row r="17" spans="1:6">
      <c r="A17" s="46">
        <v>4</v>
      </c>
      <c r="B17" s="45" t="s">
        <v>319</v>
      </c>
      <c r="C17" s="46" t="s">
        <v>262</v>
      </c>
      <c r="D17" s="47">
        <v>3</v>
      </c>
      <c r="E17" s="16">
        <v>13.52</v>
      </c>
      <c r="F17" s="16">
        <f t="shared" si="0"/>
        <v>40.56</v>
      </c>
    </row>
    <row r="18" spans="1:6">
      <c r="A18" s="46">
        <v>5</v>
      </c>
      <c r="B18" s="45" t="s">
        <v>320</v>
      </c>
      <c r="C18" s="46" t="s">
        <v>262</v>
      </c>
      <c r="D18" s="47">
        <v>6</v>
      </c>
      <c r="E18" s="16">
        <v>44.4</v>
      </c>
      <c r="F18" s="16">
        <f t="shared" si="0"/>
        <v>266.4</v>
      </c>
    </row>
    <row r="19" spans="1:6">
      <c r="A19" s="18" t="s">
        <v>222</v>
      </c>
      <c r="B19" s="18"/>
      <c r="C19" s="18"/>
      <c r="D19" s="18"/>
      <c r="E19" s="20">
        <f>TRUNC(SUM(F6:F18),2)</f>
        <v>2058.6</v>
      </c>
      <c r="F19" s="20"/>
    </row>
    <row r="20" spans="1:6">
      <c r="A20" s="41" t="s">
        <v>321</v>
      </c>
      <c r="B20" s="41"/>
      <c r="C20" s="41"/>
      <c r="D20" s="41"/>
      <c r="E20" s="48">
        <v>9</v>
      </c>
      <c r="F20" s="48"/>
    </row>
    <row r="21" spans="1:6">
      <c r="A21" s="41" t="s">
        <v>322</v>
      </c>
      <c r="B21" s="41"/>
      <c r="C21" s="41"/>
      <c r="D21" s="41"/>
      <c r="E21" s="49">
        <f>TRUNC((E19/E20)/12,2)</f>
        <v>19.06</v>
      </c>
      <c r="F21" s="49"/>
    </row>
  </sheetData>
  <mergeCells count="15">
    <mergeCell ref="A1:F1"/>
    <mergeCell ref="B5:D5"/>
    <mergeCell ref="A19:D19"/>
    <mergeCell ref="E19:F19"/>
    <mergeCell ref="A20:D20"/>
    <mergeCell ref="E20:F20"/>
    <mergeCell ref="A21:D21"/>
    <mergeCell ref="E21:F21"/>
    <mergeCell ref="A2:A4"/>
    <mergeCell ref="A5:A14"/>
    <mergeCell ref="B2:B4"/>
    <mergeCell ref="C2:C4"/>
    <mergeCell ref="D2:D4"/>
    <mergeCell ref="E2:E4"/>
    <mergeCell ref="F2:F4"/>
  </mergeCells>
  <pageMargins left="0.75" right="0.75" top="1" bottom="1" header="0.5" footer="0.5"/>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43"/>
  <sheetViews>
    <sheetView topLeftCell="A122" workbookViewId="0">
      <selection activeCell="D108" sqref="D108"/>
    </sheetView>
  </sheetViews>
  <sheetFormatPr defaultColWidth="9.13888888888889" defaultRowHeight="14.4" outlineLevelCol="5"/>
  <cols>
    <col min="1" max="1" width="5.42592592592593" customWidth="1"/>
    <col min="2" max="2" width="54" customWidth="1"/>
    <col min="3" max="3" width="11.712962962963" customWidth="1"/>
    <col min="4" max="5" width="13" customWidth="1"/>
    <col min="6" max="6" width="16" customWidth="1"/>
    <col min="7" max="7" width="11.4259259259259"/>
  </cols>
  <sheetData>
    <row r="1" spans="1:6">
      <c r="A1" s="9" t="s">
        <v>323</v>
      </c>
      <c r="B1" s="10"/>
      <c r="C1" s="9"/>
      <c r="D1" s="9"/>
      <c r="E1" s="9"/>
      <c r="F1" s="9"/>
    </row>
    <row r="2" ht="43.2" spans="1:6">
      <c r="A2" s="11" t="s">
        <v>252</v>
      </c>
      <c r="B2" s="12" t="s">
        <v>254</v>
      </c>
      <c r="C2" s="11" t="s">
        <v>255</v>
      </c>
      <c r="D2" s="11" t="s">
        <v>324</v>
      </c>
      <c r="E2" s="11" t="s">
        <v>325</v>
      </c>
      <c r="F2" s="11" t="s">
        <v>326</v>
      </c>
    </row>
    <row r="3" ht="28.8" spans="1:6">
      <c r="A3" s="13">
        <v>1</v>
      </c>
      <c r="B3" s="14" t="s">
        <v>327</v>
      </c>
      <c r="C3" s="13" t="s">
        <v>328</v>
      </c>
      <c r="D3" s="13">
        <v>5</v>
      </c>
      <c r="E3" s="15">
        <v>41.04</v>
      </c>
      <c r="F3" s="16">
        <f t="shared" ref="F3:F66" si="0">TRUNC(E3*D3,2)</f>
        <v>205.2</v>
      </c>
    </row>
    <row r="4" ht="28.8" spans="1:6">
      <c r="A4" s="13">
        <v>2</v>
      </c>
      <c r="B4" s="14" t="s">
        <v>329</v>
      </c>
      <c r="C4" s="13" t="s">
        <v>328</v>
      </c>
      <c r="D4" s="13">
        <v>5</v>
      </c>
      <c r="E4" s="15">
        <v>37.8</v>
      </c>
      <c r="F4" s="16">
        <f t="shared" si="0"/>
        <v>189</v>
      </c>
    </row>
    <row r="5" ht="28.8" spans="1:6">
      <c r="A5" s="13">
        <v>3</v>
      </c>
      <c r="B5" s="14" t="s">
        <v>330</v>
      </c>
      <c r="C5" s="13" t="s">
        <v>328</v>
      </c>
      <c r="D5" s="13">
        <v>5</v>
      </c>
      <c r="E5" s="15">
        <v>38.81</v>
      </c>
      <c r="F5" s="16">
        <f t="shared" si="0"/>
        <v>194.05</v>
      </c>
    </row>
    <row r="6" ht="28.8" spans="1:6">
      <c r="A6" s="13">
        <v>4</v>
      </c>
      <c r="B6" s="14" t="s">
        <v>331</v>
      </c>
      <c r="C6" s="13" t="s">
        <v>328</v>
      </c>
      <c r="D6" s="13">
        <v>5</v>
      </c>
      <c r="E6" s="15">
        <v>37.2</v>
      </c>
      <c r="F6" s="16">
        <f t="shared" si="0"/>
        <v>186</v>
      </c>
    </row>
    <row r="7" ht="57.6" spans="1:6">
      <c r="A7" s="13">
        <v>5</v>
      </c>
      <c r="B7" s="14" t="s">
        <v>332</v>
      </c>
      <c r="C7" s="13" t="s">
        <v>328</v>
      </c>
      <c r="D7" s="13">
        <v>5</v>
      </c>
      <c r="E7" s="15">
        <v>51.88</v>
      </c>
      <c r="F7" s="16">
        <f t="shared" si="0"/>
        <v>259.4</v>
      </c>
    </row>
    <row r="8" ht="57.6" spans="1:6">
      <c r="A8" s="13">
        <v>6</v>
      </c>
      <c r="B8" s="14" t="s">
        <v>333</v>
      </c>
      <c r="C8" s="13" t="s">
        <v>328</v>
      </c>
      <c r="D8" s="13">
        <v>5</v>
      </c>
      <c r="E8" s="15">
        <v>104.65</v>
      </c>
      <c r="F8" s="16">
        <f t="shared" si="0"/>
        <v>523.25</v>
      </c>
    </row>
    <row r="9" ht="43.2" spans="1:6">
      <c r="A9" s="13">
        <v>7</v>
      </c>
      <c r="B9" s="14" t="s">
        <v>334</v>
      </c>
      <c r="C9" s="13" t="s">
        <v>328</v>
      </c>
      <c r="D9" s="13">
        <v>5</v>
      </c>
      <c r="E9" s="15">
        <v>13.19</v>
      </c>
      <c r="F9" s="16">
        <f t="shared" si="0"/>
        <v>65.95</v>
      </c>
    </row>
    <row r="10" ht="43.2" spans="1:6">
      <c r="A10" s="13">
        <v>8</v>
      </c>
      <c r="B10" s="14" t="s">
        <v>335</v>
      </c>
      <c r="C10" s="13" t="s">
        <v>328</v>
      </c>
      <c r="D10" s="13">
        <v>5</v>
      </c>
      <c r="E10" s="15">
        <v>12.01</v>
      </c>
      <c r="F10" s="16">
        <f t="shared" si="0"/>
        <v>60.05</v>
      </c>
    </row>
    <row r="11" ht="43.2" spans="1:6">
      <c r="A11" s="13">
        <v>9</v>
      </c>
      <c r="B11" s="14" t="s">
        <v>336</v>
      </c>
      <c r="C11" s="13" t="s">
        <v>328</v>
      </c>
      <c r="D11" s="13">
        <v>5</v>
      </c>
      <c r="E11" s="15">
        <v>30.5</v>
      </c>
      <c r="F11" s="16">
        <f t="shared" si="0"/>
        <v>152.5</v>
      </c>
    </row>
    <row r="12" ht="43.2" spans="1:6">
      <c r="A12" s="13">
        <v>10</v>
      </c>
      <c r="B12" s="14" t="s">
        <v>337</v>
      </c>
      <c r="C12" s="13" t="s">
        <v>328</v>
      </c>
      <c r="D12" s="13">
        <v>5</v>
      </c>
      <c r="E12" s="15">
        <v>16.91</v>
      </c>
      <c r="F12" s="16">
        <f t="shared" si="0"/>
        <v>84.55</v>
      </c>
    </row>
    <row r="13" ht="43.2" spans="1:6">
      <c r="A13" s="13">
        <v>11</v>
      </c>
      <c r="B13" s="14" t="s">
        <v>338</v>
      </c>
      <c r="C13" s="13" t="s">
        <v>328</v>
      </c>
      <c r="D13" s="13">
        <v>5</v>
      </c>
      <c r="E13" s="15">
        <v>14.95</v>
      </c>
      <c r="F13" s="16">
        <f t="shared" si="0"/>
        <v>74.75</v>
      </c>
    </row>
    <row r="14" ht="43.2" spans="1:6">
      <c r="A14" s="13">
        <v>12</v>
      </c>
      <c r="B14" s="14" t="s">
        <v>339</v>
      </c>
      <c r="C14" s="13" t="s">
        <v>328</v>
      </c>
      <c r="D14" s="13">
        <v>5</v>
      </c>
      <c r="E14" s="15">
        <v>11.9</v>
      </c>
      <c r="F14" s="16">
        <f t="shared" si="0"/>
        <v>59.5</v>
      </c>
    </row>
    <row r="15" ht="43.2" spans="1:6">
      <c r="A15" s="13">
        <v>13</v>
      </c>
      <c r="B15" s="14" t="s">
        <v>340</v>
      </c>
      <c r="C15" s="13" t="s">
        <v>328</v>
      </c>
      <c r="D15" s="13">
        <v>5</v>
      </c>
      <c r="E15" s="15">
        <v>9.78</v>
      </c>
      <c r="F15" s="16">
        <f t="shared" si="0"/>
        <v>48.9</v>
      </c>
    </row>
    <row r="16" ht="43.2" spans="1:6">
      <c r="A16" s="13">
        <v>14</v>
      </c>
      <c r="B16" s="14" t="s">
        <v>341</v>
      </c>
      <c r="C16" s="13" t="s">
        <v>328</v>
      </c>
      <c r="D16" s="13">
        <v>5</v>
      </c>
      <c r="E16" s="15">
        <v>12.67</v>
      </c>
      <c r="F16" s="16">
        <f t="shared" si="0"/>
        <v>63.35</v>
      </c>
    </row>
    <row r="17" ht="43.2" spans="1:6">
      <c r="A17" s="13">
        <v>15</v>
      </c>
      <c r="B17" s="14" t="s">
        <v>342</v>
      </c>
      <c r="C17" s="13" t="s">
        <v>328</v>
      </c>
      <c r="D17" s="13">
        <v>5</v>
      </c>
      <c r="E17" s="15">
        <v>10.67</v>
      </c>
      <c r="F17" s="16">
        <f t="shared" si="0"/>
        <v>53.35</v>
      </c>
    </row>
    <row r="18" ht="43.2" spans="1:6">
      <c r="A18" s="13">
        <v>16</v>
      </c>
      <c r="B18" s="14" t="s">
        <v>343</v>
      </c>
      <c r="C18" s="13" t="s">
        <v>328</v>
      </c>
      <c r="D18" s="13">
        <v>5</v>
      </c>
      <c r="E18" s="15">
        <v>10.84</v>
      </c>
      <c r="F18" s="16">
        <f t="shared" si="0"/>
        <v>54.2</v>
      </c>
    </row>
    <row r="19" ht="43.2" spans="1:6">
      <c r="A19" s="13">
        <v>17</v>
      </c>
      <c r="B19" s="14" t="s">
        <v>344</v>
      </c>
      <c r="C19" s="13" t="s">
        <v>328</v>
      </c>
      <c r="D19" s="13">
        <v>5</v>
      </c>
      <c r="E19" s="15">
        <v>5.55</v>
      </c>
      <c r="F19" s="16">
        <f t="shared" si="0"/>
        <v>27.75</v>
      </c>
    </row>
    <row r="20" ht="43.2" spans="1:6">
      <c r="A20" s="13">
        <v>18</v>
      </c>
      <c r="B20" s="14" t="s">
        <v>345</v>
      </c>
      <c r="C20" s="13" t="s">
        <v>328</v>
      </c>
      <c r="D20" s="13">
        <v>5</v>
      </c>
      <c r="E20" s="15">
        <v>5.96</v>
      </c>
      <c r="F20" s="16">
        <f t="shared" si="0"/>
        <v>29.8</v>
      </c>
    </row>
    <row r="21" ht="43.2" spans="1:6">
      <c r="A21" s="13">
        <v>19</v>
      </c>
      <c r="B21" s="14" t="s">
        <v>346</v>
      </c>
      <c r="C21" s="13" t="s">
        <v>328</v>
      </c>
      <c r="D21" s="13">
        <v>5</v>
      </c>
      <c r="E21" s="15">
        <v>35.71</v>
      </c>
      <c r="F21" s="16">
        <f t="shared" si="0"/>
        <v>178.55</v>
      </c>
    </row>
    <row r="22" ht="43.2" spans="1:6">
      <c r="A22" s="13">
        <v>20</v>
      </c>
      <c r="B22" s="14" t="s">
        <v>347</v>
      </c>
      <c r="C22" s="13" t="s">
        <v>328</v>
      </c>
      <c r="D22" s="13">
        <v>5</v>
      </c>
      <c r="E22" s="15">
        <v>25.91</v>
      </c>
      <c r="F22" s="16">
        <f t="shared" si="0"/>
        <v>129.55</v>
      </c>
    </row>
    <row r="23" ht="43.2" spans="1:6">
      <c r="A23" s="13">
        <v>21</v>
      </c>
      <c r="B23" s="14" t="s">
        <v>348</v>
      </c>
      <c r="C23" s="13" t="s">
        <v>328</v>
      </c>
      <c r="D23" s="13">
        <v>5</v>
      </c>
      <c r="E23" s="15">
        <v>20.35</v>
      </c>
      <c r="F23" s="16">
        <f t="shared" si="0"/>
        <v>101.75</v>
      </c>
    </row>
    <row r="24" ht="43.2" spans="1:6">
      <c r="A24" s="13">
        <v>22</v>
      </c>
      <c r="B24" s="14" t="s">
        <v>349</v>
      </c>
      <c r="C24" s="13" t="s">
        <v>328</v>
      </c>
      <c r="D24" s="13">
        <v>5</v>
      </c>
      <c r="E24" s="15">
        <v>30.33</v>
      </c>
      <c r="F24" s="16">
        <f t="shared" si="0"/>
        <v>151.65</v>
      </c>
    </row>
    <row r="25" ht="43.2" spans="1:6">
      <c r="A25" s="13">
        <v>23</v>
      </c>
      <c r="B25" s="14" t="s">
        <v>350</v>
      </c>
      <c r="C25" s="13" t="s">
        <v>328</v>
      </c>
      <c r="D25" s="13">
        <v>2</v>
      </c>
      <c r="E25" s="15">
        <v>44.4</v>
      </c>
      <c r="F25" s="16">
        <f t="shared" si="0"/>
        <v>88.8</v>
      </c>
    </row>
    <row r="26" ht="144" spans="1:6">
      <c r="A26" s="13">
        <v>24</v>
      </c>
      <c r="B26" s="14" t="s">
        <v>351</v>
      </c>
      <c r="C26" s="13" t="s">
        <v>328</v>
      </c>
      <c r="D26" s="13">
        <v>2</v>
      </c>
      <c r="E26" s="15">
        <v>55.74</v>
      </c>
      <c r="F26" s="16">
        <f t="shared" si="0"/>
        <v>111.48</v>
      </c>
    </row>
    <row r="27" ht="72" spans="1:6">
      <c r="A27" s="13">
        <v>25</v>
      </c>
      <c r="B27" s="14" t="s">
        <v>352</v>
      </c>
      <c r="C27" s="13" t="s">
        <v>328</v>
      </c>
      <c r="D27" s="13">
        <v>2</v>
      </c>
      <c r="E27" s="15">
        <v>56.9</v>
      </c>
      <c r="F27" s="16">
        <f t="shared" si="0"/>
        <v>113.8</v>
      </c>
    </row>
    <row r="28" ht="72" spans="1:6">
      <c r="A28" s="13">
        <v>26</v>
      </c>
      <c r="B28" s="14" t="s">
        <v>353</v>
      </c>
      <c r="C28" s="13" t="s">
        <v>328</v>
      </c>
      <c r="D28" s="13">
        <v>3</v>
      </c>
      <c r="E28" s="15">
        <v>104.86</v>
      </c>
      <c r="F28" s="16">
        <f t="shared" si="0"/>
        <v>314.58</v>
      </c>
    </row>
    <row r="29" ht="57.6" spans="1:6">
      <c r="A29" s="13">
        <v>27</v>
      </c>
      <c r="B29" s="14" t="s">
        <v>354</v>
      </c>
      <c r="C29" s="13" t="s">
        <v>328</v>
      </c>
      <c r="D29" s="13">
        <v>5</v>
      </c>
      <c r="E29" s="15">
        <v>22.95</v>
      </c>
      <c r="F29" s="16">
        <f t="shared" si="0"/>
        <v>114.75</v>
      </c>
    </row>
    <row r="30" ht="28.8" spans="1:6">
      <c r="A30" s="13">
        <v>28</v>
      </c>
      <c r="B30" s="14" t="s">
        <v>355</v>
      </c>
      <c r="C30" s="13" t="s">
        <v>328</v>
      </c>
      <c r="D30" s="13">
        <v>3</v>
      </c>
      <c r="E30" s="15">
        <v>19.22</v>
      </c>
      <c r="F30" s="16">
        <f t="shared" si="0"/>
        <v>57.66</v>
      </c>
    </row>
    <row r="31" ht="43.2" spans="1:6">
      <c r="A31" s="13">
        <v>29</v>
      </c>
      <c r="B31" s="14" t="s">
        <v>356</v>
      </c>
      <c r="C31" s="13" t="s">
        <v>328</v>
      </c>
      <c r="D31" s="13">
        <v>5</v>
      </c>
      <c r="E31" s="15">
        <v>65.45</v>
      </c>
      <c r="F31" s="16">
        <f t="shared" si="0"/>
        <v>327.25</v>
      </c>
    </row>
    <row r="32" ht="28.8" spans="1:6">
      <c r="A32" s="13">
        <v>30</v>
      </c>
      <c r="B32" s="14" t="s">
        <v>357</v>
      </c>
      <c r="C32" s="13" t="s">
        <v>328</v>
      </c>
      <c r="D32" s="13">
        <v>2</v>
      </c>
      <c r="E32" s="15">
        <v>57.13</v>
      </c>
      <c r="F32" s="16">
        <f t="shared" si="0"/>
        <v>114.26</v>
      </c>
    </row>
    <row r="33" ht="43.2" spans="1:6">
      <c r="A33" s="13">
        <v>31</v>
      </c>
      <c r="B33" s="14" t="s">
        <v>358</v>
      </c>
      <c r="C33" s="13" t="s">
        <v>328</v>
      </c>
      <c r="D33" s="13">
        <v>3</v>
      </c>
      <c r="E33" s="15">
        <v>32.95</v>
      </c>
      <c r="F33" s="16">
        <f t="shared" si="0"/>
        <v>98.85</v>
      </c>
    </row>
    <row r="34" ht="72" spans="1:6">
      <c r="A34" s="13">
        <v>32</v>
      </c>
      <c r="B34" s="14" t="s">
        <v>359</v>
      </c>
      <c r="C34" s="13" t="s">
        <v>328</v>
      </c>
      <c r="D34" s="13">
        <v>3</v>
      </c>
      <c r="E34" s="15">
        <v>24.5</v>
      </c>
      <c r="F34" s="16">
        <f t="shared" si="0"/>
        <v>73.5</v>
      </c>
    </row>
    <row r="35" ht="43.2" spans="1:6">
      <c r="A35" s="13">
        <v>33</v>
      </c>
      <c r="B35" s="14" t="s">
        <v>360</v>
      </c>
      <c r="C35" s="13" t="s">
        <v>328</v>
      </c>
      <c r="D35" s="13">
        <v>3</v>
      </c>
      <c r="E35" s="15">
        <v>32.8</v>
      </c>
      <c r="F35" s="16">
        <f t="shared" si="0"/>
        <v>98.4</v>
      </c>
    </row>
    <row r="36" ht="28.8" spans="1:6">
      <c r="A36" s="13">
        <v>34</v>
      </c>
      <c r="B36" s="14" t="s">
        <v>361</v>
      </c>
      <c r="C36" s="13" t="s">
        <v>328</v>
      </c>
      <c r="D36" s="13">
        <v>5</v>
      </c>
      <c r="E36" s="15">
        <v>28.62</v>
      </c>
      <c r="F36" s="16">
        <f t="shared" si="0"/>
        <v>143.1</v>
      </c>
    </row>
    <row r="37" ht="28.8" spans="1:6">
      <c r="A37" s="13">
        <v>35</v>
      </c>
      <c r="B37" s="14" t="s">
        <v>362</v>
      </c>
      <c r="C37" s="13" t="s">
        <v>328</v>
      </c>
      <c r="D37" s="13">
        <v>5</v>
      </c>
      <c r="E37" s="15">
        <v>32.69</v>
      </c>
      <c r="F37" s="16">
        <f t="shared" si="0"/>
        <v>163.45</v>
      </c>
    </row>
    <row r="38" ht="28.8" spans="1:6">
      <c r="A38" s="13">
        <v>36</v>
      </c>
      <c r="B38" s="14" t="s">
        <v>363</v>
      </c>
      <c r="C38" s="13" t="s">
        <v>328</v>
      </c>
      <c r="D38" s="13">
        <v>2</v>
      </c>
      <c r="E38" s="15">
        <v>31.03</v>
      </c>
      <c r="F38" s="16">
        <f t="shared" si="0"/>
        <v>62.06</v>
      </c>
    </row>
    <row r="39" ht="43.2" spans="1:6">
      <c r="A39" s="13">
        <v>37</v>
      </c>
      <c r="B39" s="14" t="s">
        <v>364</v>
      </c>
      <c r="C39" s="13" t="s">
        <v>328</v>
      </c>
      <c r="D39" s="13">
        <v>2</v>
      </c>
      <c r="E39" s="15">
        <v>33.9</v>
      </c>
      <c r="F39" s="16">
        <f t="shared" si="0"/>
        <v>67.8</v>
      </c>
    </row>
    <row r="40" ht="28.8" spans="1:6">
      <c r="A40" s="13">
        <v>38</v>
      </c>
      <c r="B40" s="14" t="s">
        <v>365</v>
      </c>
      <c r="C40" s="13" t="s">
        <v>328</v>
      </c>
      <c r="D40" s="13">
        <v>2</v>
      </c>
      <c r="E40" s="15">
        <v>68.78</v>
      </c>
      <c r="F40" s="16">
        <f t="shared" si="0"/>
        <v>137.56</v>
      </c>
    </row>
    <row r="41" ht="43.2" spans="1:6">
      <c r="A41" s="13">
        <v>39</v>
      </c>
      <c r="B41" s="14" t="s">
        <v>366</v>
      </c>
      <c r="C41" s="13" t="s">
        <v>328</v>
      </c>
      <c r="D41" s="13">
        <v>2</v>
      </c>
      <c r="E41" s="15">
        <v>83.25</v>
      </c>
      <c r="F41" s="16">
        <f t="shared" si="0"/>
        <v>166.5</v>
      </c>
    </row>
    <row r="42" ht="43.2" spans="1:6">
      <c r="A42" s="13">
        <v>40</v>
      </c>
      <c r="B42" s="14" t="s">
        <v>367</v>
      </c>
      <c r="C42" s="13" t="s">
        <v>328</v>
      </c>
      <c r="D42" s="13">
        <v>5</v>
      </c>
      <c r="E42" s="15">
        <v>20.77</v>
      </c>
      <c r="F42" s="16">
        <f t="shared" si="0"/>
        <v>103.85</v>
      </c>
    </row>
    <row r="43" ht="43.2" spans="1:6">
      <c r="A43" s="13">
        <v>41</v>
      </c>
      <c r="B43" s="14" t="s">
        <v>368</v>
      </c>
      <c r="C43" s="13" t="s">
        <v>328</v>
      </c>
      <c r="D43" s="13">
        <v>5</v>
      </c>
      <c r="E43" s="15">
        <v>15.55</v>
      </c>
      <c r="F43" s="16">
        <f t="shared" si="0"/>
        <v>77.75</v>
      </c>
    </row>
    <row r="44" ht="43.2" spans="1:6">
      <c r="A44" s="13">
        <v>42</v>
      </c>
      <c r="B44" s="14" t="s">
        <v>369</v>
      </c>
      <c r="C44" s="13" t="s">
        <v>328</v>
      </c>
      <c r="D44" s="13">
        <v>5</v>
      </c>
      <c r="E44" s="15">
        <v>22.25</v>
      </c>
      <c r="F44" s="16">
        <f t="shared" si="0"/>
        <v>111.25</v>
      </c>
    </row>
    <row r="45" ht="43.2" spans="1:6">
      <c r="A45" s="13">
        <v>43</v>
      </c>
      <c r="B45" s="14" t="s">
        <v>370</v>
      </c>
      <c r="C45" s="13" t="s">
        <v>328</v>
      </c>
      <c r="D45" s="13">
        <v>2</v>
      </c>
      <c r="E45" s="15">
        <v>65.91</v>
      </c>
      <c r="F45" s="16">
        <f t="shared" si="0"/>
        <v>131.82</v>
      </c>
    </row>
    <row r="46" ht="28.8" spans="1:6">
      <c r="A46" s="13">
        <v>44</v>
      </c>
      <c r="B46" s="14" t="s">
        <v>371</v>
      </c>
      <c r="C46" s="13" t="s">
        <v>328</v>
      </c>
      <c r="D46" s="13">
        <v>2</v>
      </c>
      <c r="E46" s="15">
        <v>101.17</v>
      </c>
      <c r="F46" s="16">
        <f t="shared" si="0"/>
        <v>202.34</v>
      </c>
    </row>
    <row r="47" ht="43.2" spans="1:6">
      <c r="A47" s="13">
        <v>45</v>
      </c>
      <c r="B47" s="14" t="s">
        <v>372</v>
      </c>
      <c r="C47" s="13" t="s">
        <v>328</v>
      </c>
      <c r="D47" s="13">
        <v>4</v>
      </c>
      <c r="E47" s="15">
        <v>31.13</v>
      </c>
      <c r="F47" s="16">
        <f t="shared" si="0"/>
        <v>124.52</v>
      </c>
    </row>
    <row r="48" ht="43.2" spans="1:6">
      <c r="A48" s="13">
        <v>46</v>
      </c>
      <c r="B48" s="14" t="s">
        <v>373</v>
      </c>
      <c r="C48" s="13" t="s">
        <v>328</v>
      </c>
      <c r="D48" s="13">
        <v>4</v>
      </c>
      <c r="E48" s="15">
        <v>16.66</v>
      </c>
      <c r="F48" s="16">
        <f t="shared" si="0"/>
        <v>66.64</v>
      </c>
    </row>
    <row r="49" ht="43.2" spans="1:6">
      <c r="A49" s="13">
        <v>47</v>
      </c>
      <c r="B49" s="14" t="s">
        <v>374</v>
      </c>
      <c r="C49" s="13" t="s">
        <v>328</v>
      </c>
      <c r="D49" s="13">
        <v>4</v>
      </c>
      <c r="E49" s="15">
        <v>40.85</v>
      </c>
      <c r="F49" s="16">
        <f t="shared" si="0"/>
        <v>163.4</v>
      </c>
    </row>
    <row r="50" ht="43.2" spans="1:6">
      <c r="A50" s="13">
        <v>48</v>
      </c>
      <c r="B50" s="14" t="s">
        <v>375</v>
      </c>
      <c r="C50" s="13" t="s">
        <v>328</v>
      </c>
      <c r="D50" s="13">
        <v>4</v>
      </c>
      <c r="E50" s="15">
        <v>27.33</v>
      </c>
      <c r="F50" s="16">
        <f t="shared" si="0"/>
        <v>109.32</v>
      </c>
    </row>
    <row r="51" ht="28.8" spans="1:6">
      <c r="A51" s="13">
        <v>49</v>
      </c>
      <c r="B51" s="14" t="s">
        <v>376</v>
      </c>
      <c r="C51" s="13" t="s">
        <v>328</v>
      </c>
      <c r="D51" s="13">
        <v>5</v>
      </c>
      <c r="E51" s="15">
        <v>23.44</v>
      </c>
      <c r="F51" s="16">
        <f t="shared" si="0"/>
        <v>117.2</v>
      </c>
    </row>
    <row r="52" ht="43.2" spans="1:6">
      <c r="A52" s="13">
        <v>50</v>
      </c>
      <c r="B52" s="14" t="s">
        <v>377</v>
      </c>
      <c r="C52" s="13" t="s">
        <v>328</v>
      </c>
      <c r="D52" s="13">
        <v>4</v>
      </c>
      <c r="E52" s="15">
        <v>20.4</v>
      </c>
      <c r="F52" s="16">
        <f t="shared" si="0"/>
        <v>81.6</v>
      </c>
    </row>
    <row r="53" ht="43.2" spans="1:6">
      <c r="A53" s="13">
        <v>51</v>
      </c>
      <c r="B53" s="14" t="s">
        <v>378</v>
      </c>
      <c r="C53" s="13" t="s">
        <v>328</v>
      </c>
      <c r="D53" s="13">
        <v>4</v>
      </c>
      <c r="E53" s="15">
        <v>33.95</v>
      </c>
      <c r="F53" s="16">
        <f t="shared" si="0"/>
        <v>135.8</v>
      </c>
    </row>
    <row r="54" ht="43.2" spans="1:6">
      <c r="A54" s="13">
        <v>52</v>
      </c>
      <c r="B54" s="14" t="s">
        <v>379</v>
      </c>
      <c r="C54" s="13" t="s">
        <v>328</v>
      </c>
      <c r="D54" s="13">
        <v>4</v>
      </c>
      <c r="E54" s="15">
        <v>19.61</v>
      </c>
      <c r="F54" s="16">
        <f t="shared" si="0"/>
        <v>78.44</v>
      </c>
    </row>
    <row r="55" ht="43.2" spans="1:6">
      <c r="A55" s="13">
        <v>53</v>
      </c>
      <c r="B55" s="14" t="s">
        <v>380</v>
      </c>
      <c r="C55" s="13" t="s">
        <v>328</v>
      </c>
      <c r="D55" s="13">
        <v>4</v>
      </c>
      <c r="E55" s="15">
        <v>19.79</v>
      </c>
      <c r="F55" s="16">
        <f t="shared" si="0"/>
        <v>79.16</v>
      </c>
    </row>
    <row r="56" ht="43.2" spans="1:6">
      <c r="A56" s="13">
        <v>54</v>
      </c>
      <c r="B56" s="14" t="s">
        <v>381</v>
      </c>
      <c r="C56" s="13" t="s">
        <v>328</v>
      </c>
      <c r="D56" s="13">
        <v>2</v>
      </c>
      <c r="E56" s="15">
        <v>12.14</v>
      </c>
      <c r="F56" s="16">
        <f t="shared" si="0"/>
        <v>24.28</v>
      </c>
    </row>
    <row r="57" ht="43.2" spans="1:6">
      <c r="A57" s="13">
        <v>55</v>
      </c>
      <c r="B57" s="14" t="s">
        <v>382</v>
      </c>
      <c r="C57" s="13" t="s">
        <v>328</v>
      </c>
      <c r="D57" s="13">
        <v>2</v>
      </c>
      <c r="E57" s="15">
        <v>34.22</v>
      </c>
      <c r="F57" s="16">
        <f t="shared" si="0"/>
        <v>68.44</v>
      </c>
    </row>
    <row r="58" ht="28.8" spans="1:6">
      <c r="A58" s="13">
        <v>56</v>
      </c>
      <c r="B58" s="14" t="s">
        <v>383</v>
      </c>
      <c r="C58" s="13" t="s">
        <v>328</v>
      </c>
      <c r="D58" s="13">
        <v>4</v>
      </c>
      <c r="E58" s="15">
        <v>43.15</v>
      </c>
      <c r="F58" s="16">
        <f t="shared" si="0"/>
        <v>172.6</v>
      </c>
    </row>
    <row r="59" ht="28.8" spans="1:6">
      <c r="A59" s="13">
        <v>57</v>
      </c>
      <c r="B59" s="14" t="s">
        <v>384</v>
      </c>
      <c r="C59" s="13" t="s">
        <v>385</v>
      </c>
      <c r="D59" s="13">
        <v>40</v>
      </c>
      <c r="E59" s="15">
        <v>2.62</v>
      </c>
      <c r="F59" s="16">
        <f t="shared" si="0"/>
        <v>104.8</v>
      </c>
    </row>
    <row r="60" ht="43.2" spans="1:6">
      <c r="A60" s="13">
        <v>58</v>
      </c>
      <c r="B60" s="14" t="s">
        <v>386</v>
      </c>
      <c r="C60" s="13" t="s">
        <v>328</v>
      </c>
      <c r="D60" s="13">
        <v>5</v>
      </c>
      <c r="E60" s="15">
        <v>15.99</v>
      </c>
      <c r="F60" s="16">
        <f t="shared" si="0"/>
        <v>79.95</v>
      </c>
    </row>
    <row r="61" ht="28.8" spans="1:6">
      <c r="A61" s="13">
        <v>59</v>
      </c>
      <c r="B61" s="14" t="s">
        <v>387</v>
      </c>
      <c r="C61" s="13" t="s">
        <v>328</v>
      </c>
      <c r="D61" s="13">
        <v>4</v>
      </c>
      <c r="E61" s="15">
        <v>13.3</v>
      </c>
      <c r="F61" s="16">
        <f t="shared" si="0"/>
        <v>53.2</v>
      </c>
    </row>
    <row r="62" ht="43.2" spans="1:6">
      <c r="A62" s="13">
        <v>60</v>
      </c>
      <c r="B62" s="14" t="s">
        <v>388</v>
      </c>
      <c r="C62" s="13" t="s">
        <v>328</v>
      </c>
      <c r="D62" s="13">
        <v>5</v>
      </c>
      <c r="E62" s="15">
        <v>2.86</v>
      </c>
      <c r="F62" s="16">
        <f t="shared" si="0"/>
        <v>14.3</v>
      </c>
    </row>
    <row r="63" ht="43.2" spans="1:6">
      <c r="A63" s="13">
        <v>61</v>
      </c>
      <c r="B63" s="14" t="s">
        <v>389</v>
      </c>
      <c r="C63" s="13" t="s">
        <v>328</v>
      </c>
      <c r="D63" s="13">
        <v>8</v>
      </c>
      <c r="E63" s="15">
        <v>6.79</v>
      </c>
      <c r="F63" s="16">
        <f t="shared" si="0"/>
        <v>54.32</v>
      </c>
    </row>
    <row r="64" ht="43.2" spans="1:6">
      <c r="A64" s="13">
        <v>62</v>
      </c>
      <c r="B64" s="14" t="s">
        <v>390</v>
      </c>
      <c r="C64" s="13" t="s">
        <v>328</v>
      </c>
      <c r="D64" s="13">
        <v>10</v>
      </c>
      <c r="E64" s="15">
        <v>8.5</v>
      </c>
      <c r="F64" s="16">
        <f t="shared" si="0"/>
        <v>85</v>
      </c>
    </row>
    <row r="65" ht="43.2" spans="1:6">
      <c r="A65" s="13">
        <v>63</v>
      </c>
      <c r="B65" s="14" t="s">
        <v>391</v>
      </c>
      <c r="C65" s="13" t="s">
        <v>328</v>
      </c>
      <c r="D65" s="13">
        <v>6</v>
      </c>
      <c r="E65" s="15">
        <v>11.08</v>
      </c>
      <c r="F65" s="16">
        <f t="shared" si="0"/>
        <v>66.48</v>
      </c>
    </row>
    <row r="66" ht="43.2" spans="1:6">
      <c r="A66" s="13">
        <v>64</v>
      </c>
      <c r="B66" s="14" t="s">
        <v>392</v>
      </c>
      <c r="C66" s="13" t="s">
        <v>328</v>
      </c>
      <c r="D66" s="13">
        <v>5</v>
      </c>
      <c r="E66" s="15">
        <v>3.43</v>
      </c>
      <c r="F66" s="16">
        <f t="shared" si="0"/>
        <v>17.15</v>
      </c>
    </row>
    <row r="67" ht="43.2" spans="1:6">
      <c r="A67" s="13">
        <v>65</v>
      </c>
      <c r="B67" s="14" t="s">
        <v>393</v>
      </c>
      <c r="C67" s="13" t="s">
        <v>328</v>
      </c>
      <c r="D67" s="13">
        <v>8</v>
      </c>
      <c r="E67" s="15">
        <v>6.99</v>
      </c>
      <c r="F67" s="16">
        <f t="shared" ref="F67:F98" si="1">TRUNC(E67*D67,2)</f>
        <v>55.92</v>
      </c>
    </row>
    <row r="68" ht="28.8" spans="1:6">
      <c r="A68" s="13">
        <v>66</v>
      </c>
      <c r="B68" s="14" t="s">
        <v>394</v>
      </c>
      <c r="C68" s="13" t="s">
        <v>328</v>
      </c>
      <c r="D68" s="13">
        <v>5</v>
      </c>
      <c r="E68" s="15">
        <v>15</v>
      </c>
      <c r="F68" s="16">
        <f t="shared" si="1"/>
        <v>75</v>
      </c>
    </row>
    <row r="69" ht="28.8" spans="1:6">
      <c r="A69" s="13">
        <v>67</v>
      </c>
      <c r="B69" s="14" t="s">
        <v>395</v>
      </c>
      <c r="C69" s="13" t="s">
        <v>328</v>
      </c>
      <c r="D69" s="13">
        <v>8</v>
      </c>
      <c r="E69" s="15">
        <v>29.57</v>
      </c>
      <c r="F69" s="16">
        <f t="shared" si="1"/>
        <v>236.56</v>
      </c>
    </row>
    <row r="70" ht="28.8" spans="1:6">
      <c r="A70" s="13">
        <v>68</v>
      </c>
      <c r="B70" s="14" t="s">
        <v>396</v>
      </c>
      <c r="C70" s="13" t="s">
        <v>328</v>
      </c>
      <c r="D70" s="13">
        <v>5</v>
      </c>
      <c r="E70" s="15">
        <v>36.29</v>
      </c>
      <c r="F70" s="16">
        <f t="shared" si="1"/>
        <v>181.45</v>
      </c>
    </row>
    <row r="71" ht="43.2" spans="1:6">
      <c r="A71" s="13">
        <v>69</v>
      </c>
      <c r="B71" s="14" t="s">
        <v>397</v>
      </c>
      <c r="C71" s="13" t="s">
        <v>328</v>
      </c>
      <c r="D71" s="13">
        <v>5</v>
      </c>
      <c r="E71" s="15">
        <v>7.03</v>
      </c>
      <c r="F71" s="16">
        <f t="shared" si="1"/>
        <v>35.15</v>
      </c>
    </row>
    <row r="72" ht="28.8" spans="1:6">
      <c r="A72" s="13">
        <v>70</v>
      </c>
      <c r="B72" s="14" t="s">
        <v>398</v>
      </c>
      <c r="C72" s="13" t="s">
        <v>328</v>
      </c>
      <c r="D72" s="13">
        <v>5</v>
      </c>
      <c r="E72" s="15">
        <v>10</v>
      </c>
      <c r="F72" s="16">
        <f t="shared" si="1"/>
        <v>50</v>
      </c>
    </row>
    <row r="73" ht="28.8" spans="1:6">
      <c r="A73" s="13">
        <v>71</v>
      </c>
      <c r="B73" s="14" t="s">
        <v>399</v>
      </c>
      <c r="C73" s="13" t="s">
        <v>328</v>
      </c>
      <c r="D73" s="13">
        <v>5</v>
      </c>
      <c r="E73" s="15">
        <v>3.77</v>
      </c>
      <c r="F73" s="16">
        <f t="shared" si="1"/>
        <v>18.85</v>
      </c>
    </row>
    <row r="74" ht="57.6" spans="1:6">
      <c r="A74" s="13">
        <v>72</v>
      </c>
      <c r="B74" s="14" t="s">
        <v>400</v>
      </c>
      <c r="C74" s="13" t="s">
        <v>328</v>
      </c>
      <c r="D74" s="13">
        <v>5</v>
      </c>
      <c r="E74" s="15">
        <v>22.72</v>
      </c>
      <c r="F74" s="16">
        <f t="shared" si="1"/>
        <v>113.6</v>
      </c>
    </row>
    <row r="75" ht="43.2" spans="1:6">
      <c r="A75" s="13">
        <v>73</v>
      </c>
      <c r="B75" s="14" t="s">
        <v>401</v>
      </c>
      <c r="C75" s="13" t="s">
        <v>328</v>
      </c>
      <c r="D75" s="13">
        <v>2</v>
      </c>
      <c r="E75" s="15">
        <v>11.71</v>
      </c>
      <c r="F75" s="16">
        <f t="shared" si="1"/>
        <v>23.42</v>
      </c>
    </row>
    <row r="76" ht="43.2" spans="1:6">
      <c r="A76" s="13">
        <v>74</v>
      </c>
      <c r="B76" s="14" t="s">
        <v>402</v>
      </c>
      <c r="C76" s="13" t="s">
        <v>328</v>
      </c>
      <c r="D76" s="13">
        <v>2</v>
      </c>
      <c r="E76" s="15">
        <v>15.65</v>
      </c>
      <c r="F76" s="16">
        <f t="shared" si="1"/>
        <v>31.3</v>
      </c>
    </row>
    <row r="77" ht="43.2" spans="1:6">
      <c r="A77" s="13">
        <v>75</v>
      </c>
      <c r="B77" s="14" t="s">
        <v>403</v>
      </c>
      <c r="C77" s="13" t="s">
        <v>328</v>
      </c>
      <c r="D77" s="13">
        <v>2</v>
      </c>
      <c r="E77" s="15">
        <v>5</v>
      </c>
      <c r="F77" s="16">
        <f t="shared" si="1"/>
        <v>10</v>
      </c>
    </row>
    <row r="78" ht="57.6" spans="1:6">
      <c r="A78" s="13">
        <v>76</v>
      </c>
      <c r="B78" s="14" t="s">
        <v>404</v>
      </c>
      <c r="C78" s="13" t="s">
        <v>328</v>
      </c>
      <c r="D78" s="13">
        <v>5</v>
      </c>
      <c r="E78" s="15">
        <v>39.23</v>
      </c>
      <c r="F78" s="16">
        <f t="shared" si="1"/>
        <v>196.15</v>
      </c>
    </row>
    <row r="79" ht="57.6" spans="1:6">
      <c r="A79" s="13">
        <v>77</v>
      </c>
      <c r="B79" s="14" t="s">
        <v>405</v>
      </c>
      <c r="C79" s="13" t="s">
        <v>328</v>
      </c>
      <c r="D79" s="13">
        <v>2</v>
      </c>
      <c r="E79" s="15">
        <v>25.02</v>
      </c>
      <c r="F79" s="16">
        <f t="shared" si="1"/>
        <v>50.04</v>
      </c>
    </row>
    <row r="80" ht="43.2" spans="1:6">
      <c r="A80" s="13">
        <v>78</v>
      </c>
      <c r="B80" s="14" t="s">
        <v>406</v>
      </c>
      <c r="C80" s="13" t="s">
        <v>328</v>
      </c>
      <c r="D80" s="13">
        <v>2</v>
      </c>
      <c r="E80" s="15">
        <v>37.15</v>
      </c>
      <c r="F80" s="16">
        <f t="shared" si="1"/>
        <v>74.3</v>
      </c>
    </row>
    <row r="81" ht="43.2" spans="1:6">
      <c r="A81" s="13">
        <v>79</v>
      </c>
      <c r="B81" s="14" t="s">
        <v>407</v>
      </c>
      <c r="C81" s="13" t="s">
        <v>328</v>
      </c>
      <c r="D81" s="13">
        <v>2</v>
      </c>
      <c r="E81" s="15">
        <v>80.74</v>
      </c>
      <c r="F81" s="16">
        <f t="shared" si="1"/>
        <v>161.48</v>
      </c>
    </row>
    <row r="82" ht="43.2" spans="1:6">
      <c r="A82" s="13">
        <v>80</v>
      </c>
      <c r="B82" s="14" t="s">
        <v>408</v>
      </c>
      <c r="C82" s="13" t="s">
        <v>328</v>
      </c>
      <c r="D82" s="13">
        <v>4</v>
      </c>
      <c r="E82" s="15">
        <v>35.76</v>
      </c>
      <c r="F82" s="16">
        <f t="shared" si="1"/>
        <v>143.04</v>
      </c>
    </row>
    <row r="83" ht="43.2" spans="1:6">
      <c r="A83" s="13">
        <v>81</v>
      </c>
      <c r="B83" s="14" t="s">
        <v>409</v>
      </c>
      <c r="C83" s="13" t="s">
        <v>328</v>
      </c>
      <c r="D83" s="13">
        <v>2</v>
      </c>
      <c r="E83" s="15">
        <v>64.93</v>
      </c>
      <c r="F83" s="16">
        <f t="shared" si="1"/>
        <v>129.86</v>
      </c>
    </row>
    <row r="84" ht="43.2" spans="1:6">
      <c r="A84" s="13">
        <v>82</v>
      </c>
      <c r="B84" s="14" t="s">
        <v>410</v>
      </c>
      <c r="C84" s="13" t="s">
        <v>328</v>
      </c>
      <c r="D84" s="13">
        <v>2</v>
      </c>
      <c r="E84" s="15">
        <v>18.7</v>
      </c>
      <c r="F84" s="16">
        <f t="shared" si="1"/>
        <v>37.4</v>
      </c>
    </row>
    <row r="85" ht="72" spans="1:6">
      <c r="A85" s="13">
        <v>83</v>
      </c>
      <c r="B85" s="14" t="s">
        <v>411</v>
      </c>
      <c r="C85" s="13" t="s">
        <v>328</v>
      </c>
      <c r="D85" s="13">
        <v>3</v>
      </c>
      <c r="E85" s="15">
        <v>248.38</v>
      </c>
      <c r="F85" s="16">
        <f t="shared" si="1"/>
        <v>745.14</v>
      </c>
    </row>
    <row r="86" ht="43.2" spans="1:6">
      <c r="A86" s="13">
        <v>84</v>
      </c>
      <c r="B86" s="14" t="s">
        <v>412</v>
      </c>
      <c r="C86" s="13" t="s">
        <v>328</v>
      </c>
      <c r="D86" s="13">
        <v>2</v>
      </c>
      <c r="E86" s="15">
        <v>39.7</v>
      </c>
      <c r="F86" s="16">
        <f t="shared" si="1"/>
        <v>79.4</v>
      </c>
    </row>
    <row r="87" ht="43.2" spans="1:6">
      <c r="A87" s="13">
        <v>85</v>
      </c>
      <c r="B87" s="14" t="s">
        <v>413</v>
      </c>
      <c r="C87" s="13" t="s">
        <v>328</v>
      </c>
      <c r="D87" s="13">
        <v>4</v>
      </c>
      <c r="E87" s="15">
        <v>4.74</v>
      </c>
      <c r="F87" s="16">
        <f t="shared" si="1"/>
        <v>18.96</v>
      </c>
    </row>
    <row r="88" ht="43.2" spans="1:6">
      <c r="A88" s="13">
        <v>86</v>
      </c>
      <c r="B88" s="14" t="s">
        <v>414</v>
      </c>
      <c r="C88" s="13" t="s">
        <v>328</v>
      </c>
      <c r="D88" s="13">
        <v>4</v>
      </c>
      <c r="E88" s="15">
        <v>8.54</v>
      </c>
      <c r="F88" s="16">
        <f t="shared" si="1"/>
        <v>34.16</v>
      </c>
    </row>
    <row r="89" ht="57.6" spans="1:6">
      <c r="A89" s="13">
        <v>87</v>
      </c>
      <c r="B89" s="14" t="s">
        <v>415</v>
      </c>
      <c r="C89" s="13" t="s">
        <v>328</v>
      </c>
      <c r="D89" s="13">
        <v>5</v>
      </c>
      <c r="E89" s="15">
        <v>46.91</v>
      </c>
      <c r="F89" s="16">
        <f t="shared" si="1"/>
        <v>234.55</v>
      </c>
    </row>
    <row r="90" ht="43.2" spans="1:6">
      <c r="A90" s="13">
        <v>88</v>
      </c>
      <c r="B90" s="17" t="s">
        <v>416</v>
      </c>
      <c r="C90" s="13" t="s">
        <v>328</v>
      </c>
      <c r="D90" s="13">
        <v>4</v>
      </c>
      <c r="E90" s="15">
        <v>48.9</v>
      </c>
      <c r="F90" s="16">
        <f t="shared" si="1"/>
        <v>195.6</v>
      </c>
    </row>
    <row r="91" ht="28.8" spans="1:6">
      <c r="A91" s="13">
        <v>89</v>
      </c>
      <c r="B91" s="17" t="s">
        <v>417</v>
      </c>
      <c r="C91" s="13" t="s">
        <v>328</v>
      </c>
      <c r="D91" s="13">
        <v>3</v>
      </c>
      <c r="E91" s="15">
        <v>36.28</v>
      </c>
      <c r="F91" s="16">
        <f t="shared" si="1"/>
        <v>108.84</v>
      </c>
    </row>
    <row r="92" ht="72" spans="1:6">
      <c r="A92" s="13">
        <v>90</v>
      </c>
      <c r="B92" s="17" t="s">
        <v>418</v>
      </c>
      <c r="C92" s="13" t="s">
        <v>328</v>
      </c>
      <c r="D92" s="13">
        <v>5</v>
      </c>
      <c r="E92" s="15">
        <v>121.31</v>
      </c>
      <c r="F92" s="16">
        <f t="shared" si="1"/>
        <v>606.55</v>
      </c>
    </row>
    <row r="93" ht="129.6" spans="1:6">
      <c r="A93" s="13">
        <v>91</v>
      </c>
      <c r="B93" s="17" t="s">
        <v>419</v>
      </c>
      <c r="C93" s="13" t="s">
        <v>328</v>
      </c>
      <c r="D93" s="13">
        <v>4</v>
      </c>
      <c r="E93" s="15">
        <v>36.67</v>
      </c>
      <c r="F93" s="16">
        <f t="shared" si="1"/>
        <v>146.68</v>
      </c>
    </row>
    <row r="94" ht="57.6" spans="1:6">
      <c r="A94" s="13">
        <v>92</v>
      </c>
      <c r="B94" s="17" t="s">
        <v>420</v>
      </c>
      <c r="C94" s="13" t="s">
        <v>328</v>
      </c>
      <c r="D94" s="13"/>
      <c r="E94" s="15">
        <v>21.99</v>
      </c>
      <c r="F94" s="16">
        <f t="shared" si="1"/>
        <v>0</v>
      </c>
    </row>
    <row r="95" ht="57.6" spans="1:6">
      <c r="A95" s="13">
        <v>93</v>
      </c>
      <c r="B95" s="17" t="s">
        <v>421</v>
      </c>
      <c r="C95" s="13" t="s">
        <v>328</v>
      </c>
      <c r="D95" s="13">
        <v>2</v>
      </c>
      <c r="E95" s="15">
        <v>180.57</v>
      </c>
      <c r="F95" s="16">
        <f t="shared" si="1"/>
        <v>361.14</v>
      </c>
    </row>
    <row r="96" ht="100.8" spans="1:6">
      <c r="A96" s="13">
        <v>94</v>
      </c>
      <c r="B96" s="17" t="s">
        <v>422</v>
      </c>
      <c r="C96" s="13" t="s">
        <v>328</v>
      </c>
      <c r="D96" s="13">
        <v>2</v>
      </c>
      <c r="E96" s="15">
        <v>82</v>
      </c>
      <c r="F96" s="16">
        <f t="shared" si="1"/>
        <v>164</v>
      </c>
    </row>
    <row r="97" ht="57.6" spans="1:6">
      <c r="A97" s="13">
        <v>95</v>
      </c>
      <c r="B97" s="17" t="s">
        <v>423</v>
      </c>
      <c r="C97" s="13" t="s">
        <v>328</v>
      </c>
      <c r="D97" s="13">
        <v>2</v>
      </c>
      <c r="E97" s="15">
        <v>154.45</v>
      </c>
      <c r="F97" s="16">
        <f t="shared" si="1"/>
        <v>308.9</v>
      </c>
    </row>
    <row r="98" ht="43.2" spans="1:6">
      <c r="A98" s="13">
        <v>96</v>
      </c>
      <c r="B98" s="17" t="s">
        <v>424</v>
      </c>
      <c r="C98" s="13" t="s">
        <v>328</v>
      </c>
      <c r="D98" s="13">
        <v>20</v>
      </c>
      <c r="E98" s="15">
        <v>196.9</v>
      </c>
      <c r="F98" s="16">
        <f t="shared" si="1"/>
        <v>3938</v>
      </c>
    </row>
    <row r="99" spans="1:6">
      <c r="A99" s="18" t="s">
        <v>222</v>
      </c>
      <c r="B99" s="19"/>
      <c r="C99" s="18"/>
      <c r="D99" s="18"/>
      <c r="E99" s="20">
        <f>TRUNC(SUM(F3:F98),2)</f>
        <v>16035.9</v>
      </c>
      <c r="F99" s="20"/>
    </row>
    <row r="100" spans="1:6">
      <c r="A100" s="18" t="s">
        <v>425</v>
      </c>
      <c r="B100" s="19"/>
      <c r="C100" s="18"/>
      <c r="D100" s="18"/>
      <c r="E100" s="18">
        <v>9</v>
      </c>
      <c r="F100" s="18"/>
    </row>
    <row r="101" spans="1:6">
      <c r="A101" s="18" t="s">
        <v>322</v>
      </c>
      <c r="B101" s="19"/>
      <c r="C101" s="18"/>
      <c r="D101" s="18"/>
      <c r="E101" s="20">
        <f>TRUNC((E99/E100)/12,2)</f>
        <v>148.48</v>
      </c>
      <c r="F101" s="20"/>
    </row>
    <row r="102" spans="2:2">
      <c r="B102" s="21"/>
    </row>
    <row r="103" spans="2:2">
      <c r="B103" s="21"/>
    </row>
    <row r="104" spans="2:2">
      <c r="B104" s="21"/>
    </row>
    <row r="105" spans="1:6">
      <c r="A105" s="22" t="s">
        <v>426</v>
      </c>
      <c r="B105" s="23"/>
      <c r="C105" s="22"/>
      <c r="D105" s="22"/>
      <c r="E105" s="22"/>
      <c r="F105" s="22"/>
    </row>
    <row r="106" ht="43.2" spans="1:6">
      <c r="A106" s="24" t="s">
        <v>252</v>
      </c>
      <c r="B106" s="25" t="s">
        <v>254</v>
      </c>
      <c r="C106" s="24" t="s">
        <v>255</v>
      </c>
      <c r="D106" s="26" t="s">
        <v>324</v>
      </c>
      <c r="E106" s="27" t="s">
        <v>325</v>
      </c>
      <c r="F106" s="27" t="s">
        <v>326</v>
      </c>
    </row>
    <row r="107" ht="100.8" spans="1:6">
      <c r="A107" s="13">
        <v>1</v>
      </c>
      <c r="B107" s="17" t="s">
        <v>427</v>
      </c>
      <c r="C107" s="13" t="s">
        <v>328</v>
      </c>
      <c r="D107" s="13">
        <v>2</v>
      </c>
      <c r="E107" s="15">
        <v>347.74</v>
      </c>
      <c r="F107" s="16">
        <f t="shared" ref="F107:F126" si="2">TRUNC(E107*D107,2)</f>
        <v>695.48</v>
      </c>
    </row>
    <row r="108" ht="115.2" spans="1:6">
      <c r="A108" s="13">
        <v>2</v>
      </c>
      <c r="B108" s="17" t="s">
        <v>428</v>
      </c>
      <c r="C108" s="13" t="s">
        <v>328</v>
      </c>
      <c r="D108" s="13"/>
      <c r="E108" s="15">
        <v>200.97</v>
      </c>
      <c r="F108" s="16">
        <f t="shared" si="2"/>
        <v>0</v>
      </c>
    </row>
    <row r="109" ht="86.4" spans="1:6">
      <c r="A109" s="13">
        <v>3</v>
      </c>
      <c r="B109" s="17" t="s">
        <v>429</v>
      </c>
      <c r="C109" s="13" t="s">
        <v>328</v>
      </c>
      <c r="D109" s="13">
        <v>2</v>
      </c>
      <c r="E109" s="15">
        <v>534.19</v>
      </c>
      <c r="F109" s="16">
        <f t="shared" si="2"/>
        <v>1068.38</v>
      </c>
    </row>
    <row r="110" ht="72" spans="1:6">
      <c r="A110" s="13">
        <v>4</v>
      </c>
      <c r="B110" s="17" t="s">
        <v>430</v>
      </c>
      <c r="C110" s="13" t="s">
        <v>328</v>
      </c>
      <c r="D110" s="13">
        <v>2</v>
      </c>
      <c r="E110" s="15">
        <v>932.74</v>
      </c>
      <c r="F110" s="16">
        <f t="shared" si="2"/>
        <v>1865.48</v>
      </c>
    </row>
    <row r="111" ht="57.6" spans="1:6">
      <c r="A111" s="13">
        <v>5</v>
      </c>
      <c r="B111" s="17" t="s">
        <v>431</v>
      </c>
      <c r="C111" s="13" t="s">
        <v>328</v>
      </c>
      <c r="D111" s="13"/>
      <c r="E111" s="15">
        <v>122.59</v>
      </c>
      <c r="F111" s="16">
        <f t="shared" si="2"/>
        <v>0</v>
      </c>
    </row>
    <row r="112" ht="43.2" spans="1:6">
      <c r="A112" s="13">
        <v>6</v>
      </c>
      <c r="B112" s="17" t="s">
        <v>432</v>
      </c>
      <c r="C112" s="13" t="s">
        <v>328</v>
      </c>
      <c r="D112" s="13">
        <v>2</v>
      </c>
      <c r="E112" s="15">
        <v>309.4</v>
      </c>
      <c r="F112" s="16">
        <f t="shared" si="2"/>
        <v>618.8</v>
      </c>
    </row>
    <row r="113" ht="144" spans="1:6">
      <c r="A113" s="13">
        <v>7</v>
      </c>
      <c r="B113" s="17" t="s">
        <v>433</v>
      </c>
      <c r="C113" s="13" t="s">
        <v>328</v>
      </c>
      <c r="D113" s="13"/>
      <c r="E113" s="15">
        <v>700.03</v>
      </c>
      <c r="F113" s="16">
        <f t="shared" si="2"/>
        <v>0</v>
      </c>
    </row>
    <row r="114" ht="144" spans="1:6">
      <c r="A114" s="13">
        <v>8</v>
      </c>
      <c r="B114" s="17" t="s">
        <v>434</v>
      </c>
      <c r="C114" s="13" t="s">
        <v>328</v>
      </c>
      <c r="D114" s="13">
        <v>2</v>
      </c>
      <c r="E114" s="15">
        <v>458.28</v>
      </c>
      <c r="F114" s="16">
        <f t="shared" si="2"/>
        <v>916.56</v>
      </c>
    </row>
    <row r="115" ht="28.8" spans="1:6">
      <c r="A115" s="13">
        <v>9</v>
      </c>
      <c r="B115" s="17" t="s">
        <v>435</v>
      </c>
      <c r="C115" s="13" t="s">
        <v>328</v>
      </c>
      <c r="D115" s="13">
        <v>2</v>
      </c>
      <c r="E115" s="15">
        <v>264.18</v>
      </c>
      <c r="F115" s="16">
        <f t="shared" si="2"/>
        <v>528.36</v>
      </c>
    </row>
    <row r="116" ht="72" spans="1:6">
      <c r="A116" s="13">
        <v>10</v>
      </c>
      <c r="B116" s="17" t="s">
        <v>436</v>
      </c>
      <c r="C116" s="13" t="s">
        <v>328</v>
      </c>
      <c r="D116" s="13">
        <v>1</v>
      </c>
      <c r="E116" s="15">
        <v>275.54</v>
      </c>
      <c r="F116" s="16">
        <f t="shared" si="2"/>
        <v>275.54</v>
      </c>
    </row>
    <row r="117" ht="57.6" spans="1:6">
      <c r="A117" s="13">
        <v>11</v>
      </c>
      <c r="B117" s="17" t="s">
        <v>437</v>
      </c>
      <c r="C117" s="13" t="s">
        <v>328</v>
      </c>
      <c r="D117" s="13">
        <v>2</v>
      </c>
      <c r="E117" s="15">
        <v>376.5</v>
      </c>
      <c r="F117" s="16">
        <f t="shared" si="2"/>
        <v>753</v>
      </c>
    </row>
    <row r="118" ht="57.6" spans="1:6">
      <c r="A118" s="13">
        <v>12</v>
      </c>
      <c r="B118" s="17" t="s">
        <v>438</v>
      </c>
      <c r="C118" s="13" t="s">
        <v>328</v>
      </c>
      <c r="D118" s="13">
        <v>2</v>
      </c>
      <c r="E118" s="15">
        <v>317.09</v>
      </c>
      <c r="F118" s="16">
        <f t="shared" si="2"/>
        <v>634.18</v>
      </c>
    </row>
    <row r="119" ht="57.6" spans="1:6">
      <c r="A119" s="13">
        <v>13</v>
      </c>
      <c r="B119" s="17" t="s">
        <v>439</v>
      </c>
      <c r="C119" s="13" t="s">
        <v>328</v>
      </c>
      <c r="D119" s="13"/>
      <c r="E119" s="15">
        <v>336.28</v>
      </c>
      <c r="F119" s="16">
        <f t="shared" si="2"/>
        <v>0</v>
      </c>
    </row>
    <row r="120" ht="57.6" spans="1:6">
      <c r="A120" s="13">
        <v>14</v>
      </c>
      <c r="B120" s="17" t="s">
        <v>440</v>
      </c>
      <c r="C120" s="13" t="s">
        <v>328</v>
      </c>
      <c r="D120" s="13"/>
      <c r="E120" s="15">
        <v>603.22</v>
      </c>
      <c r="F120" s="16">
        <f t="shared" si="2"/>
        <v>0</v>
      </c>
    </row>
    <row r="121" ht="86.4" spans="1:6">
      <c r="A121" s="13">
        <v>15</v>
      </c>
      <c r="B121" s="17" t="s">
        <v>441</v>
      </c>
      <c r="C121" s="13" t="s">
        <v>328</v>
      </c>
      <c r="D121" s="13"/>
      <c r="E121" s="15">
        <v>386.89</v>
      </c>
      <c r="F121" s="16">
        <f t="shared" si="2"/>
        <v>0</v>
      </c>
    </row>
    <row r="122" ht="158.4" spans="1:6">
      <c r="A122" s="13">
        <v>16</v>
      </c>
      <c r="B122" s="17" t="s">
        <v>442</v>
      </c>
      <c r="C122" s="13" t="s">
        <v>328</v>
      </c>
      <c r="D122" s="13"/>
      <c r="E122" s="15">
        <v>981.6</v>
      </c>
      <c r="F122" s="16">
        <f t="shared" si="2"/>
        <v>0</v>
      </c>
    </row>
    <row r="123" ht="57.6" spans="1:6">
      <c r="A123" s="13">
        <v>17</v>
      </c>
      <c r="B123" s="17" t="s">
        <v>443</v>
      </c>
      <c r="C123" s="13" t="s">
        <v>328</v>
      </c>
      <c r="D123" s="13"/>
      <c r="E123" s="15">
        <v>266.33</v>
      </c>
      <c r="F123" s="16">
        <f t="shared" si="2"/>
        <v>0</v>
      </c>
    </row>
    <row r="124" ht="43.2" spans="1:6">
      <c r="A124" s="13">
        <v>18</v>
      </c>
      <c r="B124" s="17" t="s">
        <v>444</v>
      </c>
      <c r="C124" s="13" t="s">
        <v>328</v>
      </c>
      <c r="D124" s="13"/>
      <c r="E124" s="15">
        <v>117</v>
      </c>
      <c r="F124" s="16">
        <f t="shared" si="2"/>
        <v>0</v>
      </c>
    </row>
    <row r="125" ht="129.6" spans="1:6">
      <c r="A125" s="13">
        <v>19</v>
      </c>
      <c r="B125" s="17" t="s">
        <v>445</v>
      </c>
      <c r="C125" s="13" t="s">
        <v>328</v>
      </c>
      <c r="D125" s="13"/>
      <c r="E125" s="15">
        <v>343.17</v>
      </c>
      <c r="F125" s="16">
        <f t="shared" si="2"/>
        <v>0</v>
      </c>
    </row>
    <row r="126" ht="57.6" spans="1:6">
      <c r="A126" s="13">
        <v>20</v>
      </c>
      <c r="B126" s="17" t="s">
        <v>446</v>
      </c>
      <c r="C126" s="13" t="s">
        <v>328</v>
      </c>
      <c r="D126" s="13">
        <v>2</v>
      </c>
      <c r="E126" s="15">
        <v>200.56</v>
      </c>
      <c r="F126" s="16">
        <f t="shared" si="2"/>
        <v>401.12</v>
      </c>
    </row>
    <row r="127" spans="1:6">
      <c r="A127" s="28" t="s">
        <v>58</v>
      </c>
      <c r="B127" s="29"/>
      <c r="C127" s="5"/>
      <c r="E127" s="5"/>
      <c r="F127" s="30">
        <f>SUBTOTAL(109,Table44[VALOR TOTAL ESTIMADO])</f>
        <v>7756.9</v>
      </c>
    </row>
    <row r="128" spans="1:6">
      <c r="A128" s="31" t="s">
        <v>447</v>
      </c>
      <c r="B128" s="32"/>
      <c r="C128" s="32"/>
      <c r="D128" s="32"/>
      <c r="E128" s="33"/>
      <c r="F128" s="34">
        <f>Table44[[#Totals],[VALOR TOTAL ESTIMADO]]*0.5%</f>
        <v>38.7845</v>
      </c>
    </row>
    <row r="129" spans="1:6">
      <c r="A129" s="35" t="s">
        <v>448</v>
      </c>
      <c r="B129" s="35"/>
      <c r="C129" s="35"/>
      <c r="D129" s="35"/>
      <c r="E129" s="35"/>
      <c r="F129" s="36">
        <f>Table44[[#Totals],[VALOR TOTAL ESTIMADO]]*(1-0.2)/(12*8)</f>
        <v>64.6408333333333</v>
      </c>
    </row>
    <row r="130" spans="1:6">
      <c r="A130" s="35" t="s">
        <v>449</v>
      </c>
      <c r="B130" s="35"/>
      <c r="C130" s="35"/>
      <c r="D130" s="35"/>
      <c r="E130" s="35"/>
      <c r="F130" s="36">
        <f>F128+F129</f>
        <v>103.425333333333</v>
      </c>
    </row>
    <row r="131" spans="1:6">
      <c r="A131" s="35" t="s">
        <v>425</v>
      </c>
      <c r="B131" s="35"/>
      <c r="C131" s="35"/>
      <c r="D131" s="35"/>
      <c r="E131" s="35"/>
      <c r="F131" s="37">
        <v>9</v>
      </c>
    </row>
    <row r="132" spans="1:6">
      <c r="A132" s="35" t="s">
        <v>322</v>
      </c>
      <c r="B132" s="35"/>
      <c r="C132" s="35"/>
      <c r="D132" s="35"/>
      <c r="E132" s="35"/>
      <c r="F132" s="36">
        <f>TRUNC(F130/F131,2)</f>
        <v>11.49</v>
      </c>
    </row>
    <row r="133" spans="1:6">
      <c r="A133" s="38"/>
      <c r="B133" s="38"/>
      <c r="C133" s="38"/>
      <c r="D133" s="38"/>
      <c r="E133" s="38"/>
      <c r="F133" s="38"/>
    </row>
    <row r="134" spans="1:6">
      <c r="A134" s="39" t="s">
        <v>450</v>
      </c>
      <c r="B134" s="40"/>
      <c r="C134" s="40"/>
      <c r="D134" s="40"/>
      <c r="E134" s="40"/>
      <c r="F134" s="40"/>
    </row>
    <row r="135" spans="1:6">
      <c r="A135" s="40"/>
      <c r="B135" s="40"/>
      <c r="C135" s="40"/>
      <c r="D135" s="40"/>
      <c r="E135" s="40"/>
      <c r="F135" s="40"/>
    </row>
    <row r="136" spans="1:6">
      <c r="A136" s="40"/>
      <c r="B136" s="40"/>
      <c r="C136" s="40"/>
      <c r="D136" s="40"/>
      <c r="E136" s="40"/>
      <c r="F136" s="40"/>
    </row>
    <row r="137" spans="1:6">
      <c r="A137" s="40"/>
      <c r="B137" s="40"/>
      <c r="C137" s="40"/>
      <c r="D137" s="40"/>
      <c r="E137" s="40"/>
      <c r="F137" s="40"/>
    </row>
    <row r="138" spans="1:6">
      <c r="A138" s="40"/>
      <c r="B138" s="40"/>
      <c r="C138" s="40"/>
      <c r="D138" s="40"/>
      <c r="E138" s="40"/>
      <c r="F138" s="40"/>
    </row>
    <row r="139" spans="1:6">
      <c r="A139" s="40"/>
      <c r="B139" s="40"/>
      <c r="C139" s="40"/>
      <c r="D139" s="40"/>
      <c r="E139" s="40"/>
      <c r="F139" s="40"/>
    </row>
    <row r="140" spans="1:6">
      <c r="A140" s="40"/>
      <c r="B140" s="40"/>
      <c r="C140" s="40"/>
      <c r="D140" s="40"/>
      <c r="E140" s="40"/>
      <c r="F140" s="40"/>
    </row>
    <row r="141" spans="1:6">
      <c r="A141" s="40"/>
      <c r="B141" s="40"/>
      <c r="C141" s="40"/>
      <c r="D141" s="40"/>
      <c r="E141" s="40"/>
      <c r="F141" s="40"/>
    </row>
    <row r="142" spans="1:6">
      <c r="A142" s="40"/>
      <c r="B142" s="40"/>
      <c r="C142" s="40"/>
      <c r="D142" s="40"/>
      <c r="E142" s="40"/>
      <c r="F142" s="40"/>
    </row>
    <row r="143" spans="1:6">
      <c r="A143" s="40"/>
      <c r="B143" s="40"/>
      <c r="C143" s="40"/>
      <c r="D143" s="40"/>
      <c r="E143" s="40"/>
      <c r="F143" s="40"/>
    </row>
  </sheetData>
  <mergeCells count="14">
    <mergeCell ref="A1:F1"/>
    <mergeCell ref="A99:D99"/>
    <mergeCell ref="E99:F99"/>
    <mergeCell ref="A100:D100"/>
    <mergeCell ref="E100:F100"/>
    <mergeCell ref="A101:D101"/>
    <mergeCell ref="E101:F101"/>
    <mergeCell ref="A105:F105"/>
    <mergeCell ref="A128:E128"/>
    <mergeCell ref="A129:E129"/>
    <mergeCell ref="A130:E130"/>
    <mergeCell ref="A131:E131"/>
    <mergeCell ref="A132:E132"/>
    <mergeCell ref="A134:F143"/>
  </mergeCells>
  <pageMargins left="0.75" right="0.75" top="1" bottom="1" header="0.5" footer="0.5"/>
  <pageSetup paperSize="9" orientation="landscape"/>
  <headerFooter/>
  <tableParts count="1">
    <tablePart r:id="rId1"/>
  </tablePar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6"/>
  <sheetViews>
    <sheetView tabSelected="1" workbookViewId="0">
      <selection activeCell="G13" sqref="G13"/>
    </sheetView>
  </sheetViews>
  <sheetFormatPr defaultColWidth="9.13888888888889" defaultRowHeight="14.4" outlineLevelRow="5" outlineLevelCol="6"/>
  <cols>
    <col min="1" max="1" width="7.13888888888889" customWidth="1"/>
    <col min="2" max="2" width="36.4259259259259" customWidth="1"/>
    <col min="3" max="3" width="11.5740740740741" customWidth="1"/>
    <col min="4" max="4" width="12.5740740740741" customWidth="1"/>
    <col min="5" max="5" width="13.287037037037" customWidth="1"/>
    <col min="6" max="6" width="14.8611111111111" customWidth="1"/>
    <col min="7" max="7" width="14.5740740740741" customWidth="1"/>
  </cols>
  <sheetData>
    <row r="1" ht="15.15" spans="1:7">
      <c r="A1" s="1" t="s">
        <v>451</v>
      </c>
      <c r="B1" s="2"/>
      <c r="C1" s="2"/>
      <c r="D1" s="2"/>
      <c r="E1" s="2"/>
      <c r="F1" s="2"/>
      <c r="G1" s="3"/>
    </row>
    <row r="2" ht="58.35" spans="1:7">
      <c r="A2" s="4" t="s">
        <v>16</v>
      </c>
      <c r="B2" s="4" t="s">
        <v>17</v>
      </c>
      <c r="C2" s="4" t="s">
        <v>262</v>
      </c>
      <c r="D2" s="4" t="s">
        <v>452</v>
      </c>
      <c r="E2" s="4" t="s">
        <v>453</v>
      </c>
      <c r="F2" s="4" t="s">
        <v>454</v>
      </c>
      <c r="G2" s="4" t="s">
        <v>455</v>
      </c>
    </row>
    <row r="3" ht="57.6" spans="1:7">
      <c r="A3" s="5">
        <v>18</v>
      </c>
      <c r="B3" s="6" t="s">
        <v>456</v>
      </c>
      <c r="C3" s="4" t="s">
        <v>457</v>
      </c>
      <c r="D3" s="5">
        <v>2</v>
      </c>
      <c r="E3" s="5">
        <v>12</v>
      </c>
      <c r="F3" s="7">
        <f>Eletricista!D148</f>
        <v>5621.41</v>
      </c>
      <c r="G3" s="7">
        <f>((F3*D3)*(E3))</f>
        <v>134913.84</v>
      </c>
    </row>
    <row r="4" ht="72" spans="1:7">
      <c r="A4" s="5">
        <v>19</v>
      </c>
      <c r="B4" s="6" t="s">
        <v>458</v>
      </c>
      <c r="C4" s="4" t="s">
        <v>457</v>
      </c>
      <c r="D4" s="5">
        <v>5</v>
      </c>
      <c r="E4" s="5">
        <v>12</v>
      </c>
      <c r="F4" s="7">
        <f>'Auxiliar Manutenção'!D148</f>
        <v>4453.47</v>
      </c>
      <c r="G4" s="7">
        <f>((F4*D4)*(E4))</f>
        <v>267208.2</v>
      </c>
    </row>
    <row r="5" ht="57.6" spans="1:7">
      <c r="A5" s="5">
        <v>20</v>
      </c>
      <c r="B5" s="6" t="s">
        <v>459</v>
      </c>
      <c r="C5" s="4" t="s">
        <v>457</v>
      </c>
      <c r="D5" s="5">
        <v>2</v>
      </c>
      <c r="E5" s="5">
        <v>12</v>
      </c>
      <c r="F5" s="7">
        <f>Jardineiro!D148</f>
        <v>3629.04</v>
      </c>
      <c r="G5" s="7">
        <f>((F5*D5)*(E5))</f>
        <v>87096.96</v>
      </c>
    </row>
    <row r="6" spans="1:7">
      <c r="A6" s="8" t="s">
        <v>205</v>
      </c>
      <c r="B6" s="8"/>
      <c r="C6" s="8"/>
      <c r="D6" s="8"/>
      <c r="E6" s="8"/>
      <c r="F6" s="8"/>
      <c r="G6" s="7">
        <f>SUM(G3:G5)</f>
        <v>489219</v>
      </c>
    </row>
  </sheetData>
  <mergeCells count="1">
    <mergeCell ref="A1:G1"/>
  </mergeCells>
  <pageMargins left="0.75" right="0.75" top="1" bottom="1" header="0.5" footer="0.5"/>
  <pageSetup paperSize="9" scale="85" orientation="landscape"/>
  <headerFooter/>
  <tableParts count="1">
    <tablePart r:id="rId1"/>
  </tableParts>
</worksheet>
</file>

<file path=docProps/app.xml><?xml version="1.0" encoding="utf-8"?>
<Properties xmlns="http://schemas.openxmlformats.org/officeDocument/2006/extended-properties" xmlns:vt="http://schemas.openxmlformats.org/officeDocument/2006/docPropsVTypes">
  <Application>LibreOffice/6.1.5.2$Windows_X86_64 LibreOffice_project/90f8dcf33c87b3705e78202e3df5142b201bd805</Application>
  <HeadingPairs>
    <vt:vector size="2" baseType="variant">
      <vt:variant>
        <vt:lpstr>工作表</vt:lpstr>
      </vt:variant>
      <vt:variant>
        <vt:i4>9</vt:i4>
      </vt:variant>
    </vt:vector>
  </HeadingPairs>
  <TitlesOfParts>
    <vt:vector size="9" baseType="lpstr">
      <vt:lpstr>Orientações</vt:lpstr>
      <vt:lpstr>Servente</vt:lpstr>
      <vt:lpstr>Eletricista</vt:lpstr>
      <vt:lpstr>Auxiliar Manutenção</vt:lpstr>
      <vt:lpstr>Jardineiro</vt:lpstr>
      <vt:lpstr>Uniformes e EPI</vt:lpstr>
      <vt:lpstr>EPC</vt:lpstr>
      <vt:lpstr>Equipamentos e Materiais</vt:lpstr>
      <vt:lpstr>RESUMO</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Carlos</dc:creator>
  <cp:lastModifiedBy>Licitação - Reitoria</cp:lastModifiedBy>
  <cp:revision>3</cp:revision>
  <dcterms:created xsi:type="dcterms:W3CDTF">2019-02-19T21:25:00Z</dcterms:created>
  <cp:lastPrinted>2020-02-20T19:26:00Z</cp:lastPrinted>
  <dcterms:modified xsi:type="dcterms:W3CDTF">2022-08-11T00:51:06Z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KSOProductBuildVer">
    <vt:lpwstr>1046-11.2.0.11251</vt:lpwstr>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y fmtid="{D5CDD505-2E9C-101B-9397-08002B2CF9AE}" pid="9" name="ICV">
    <vt:lpwstr>36CB9152D4524E47A36AB7537F1FF8CF</vt:lpwstr>
  </property>
</Properties>
</file>